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0305" activeTab="2"/>
  </bookViews>
  <sheets>
    <sheet name="TSJ" sheetId="7" r:id="rId1"/>
    <sheet name="J.ORAL" sheetId="8" r:id="rId2"/>
    <sheet name="IJA" sheetId="9" r:id="rId3"/>
    <sheet name="Rendicion Ctas" sheetId="1" r:id="rId4"/>
    <sheet name="Recaudación" sheetId="2" r:id="rId5"/>
    <sheet name="Avance Presupuesto" sheetId="3" r:id="rId6"/>
    <sheet name="G. Programable" sheetId="4" r:id="rId7"/>
    <sheet name="G. Operación" sheetId="5" r:id="rId8"/>
    <sheet name="Serv. Personales" sheetId="6" r:id="rId9"/>
  </sheets>
  <externalReferences>
    <externalReference r:id="rId10"/>
    <externalReference r:id="rId11"/>
    <externalReference r:id="rId12"/>
    <externalReference r:id="rId13"/>
    <externalReference r:id="rId14"/>
    <externalReference r:id="rId15"/>
    <externalReference r:id="rId16"/>
  </externalReferences>
  <definedNames>
    <definedName name="_xlnm.Print_Titles" localSheetId="2">IJA!$2:$18</definedName>
    <definedName name="_xlnm.Print_Titles" localSheetId="1">J.ORAL!$2:$18</definedName>
    <definedName name="_xlnm.Print_Titles" localSheetId="0">TSJ!$2:$18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6" i="9" l="1"/>
  <c r="AR65" i="9"/>
  <c r="AM65" i="9"/>
  <c r="AM66" i="9" s="1"/>
  <c r="AR64" i="9"/>
  <c r="AM64" i="9"/>
  <c r="AH64" i="9"/>
  <c r="AH66" i="9" s="1"/>
  <c r="AR63" i="9"/>
  <c r="AR66" i="9" s="1"/>
  <c r="AM63" i="9"/>
  <c r="AR58" i="9"/>
  <c r="AH58" i="9"/>
  <c r="AQ55" i="9"/>
  <c r="AL55" i="9"/>
  <c r="AM58" i="9" s="1"/>
  <c r="AL27" i="9" s="1"/>
  <c r="AV27" i="9" s="1"/>
  <c r="AG55" i="9"/>
  <c r="AB55" i="9"/>
  <c r="AC58" i="9" s="1"/>
  <c r="AS54" i="9"/>
  <c r="AR54" i="9"/>
  <c r="AN54" i="9"/>
  <c r="AM54" i="9"/>
  <c r="AI54" i="9"/>
  <c r="AH54" i="9"/>
  <c r="AD54" i="9"/>
  <c r="AC54" i="9"/>
  <c r="AS53" i="9"/>
  <c r="AR53" i="9"/>
  <c r="AN53" i="9"/>
  <c r="AM53" i="9"/>
  <c r="AI53" i="9"/>
  <c r="AH53" i="9"/>
  <c r="AD53" i="9"/>
  <c r="AC53" i="9"/>
  <c r="AS52" i="9"/>
  <c r="AR52" i="9"/>
  <c r="AN52" i="9"/>
  <c r="AM52" i="9"/>
  <c r="AI52" i="9"/>
  <c r="AH52" i="9"/>
  <c r="AD52" i="9"/>
  <c r="AC52" i="9"/>
  <c r="AS51" i="9"/>
  <c r="AR51" i="9"/>
  <c r="AN51" i="9"/>
  <c r="AM51" i="9"/>
  <c r="AI51" i="9"/>
  <c r="AH51" i="9"/>
  <c r="AD51" i="9"/>
  <c r="AC51" i="9"/>
  <c r="AS50" i="9"/>
  <c r="AR50" i="9"/>
  <c r="AN50" i="9"/>
  <c r="AM50" i="9"/>
  <c r="AI50" i="9"/>
  <c r="AH50" i="9"/>
  <c r="AD50" i="9"/>
  <c r="AC50" i="9"/>
  <c r="AS49" i="9"/>
  <c r="AR49" i="9"/>
  <c r="AN49" i="9"/>
  <c r="AM49" i="9"/>
  <c r="AI49" i="9"/>
  <c r="AH49" i="9"/>
  <c r="AD49" i="9"/>
  <c r="AC49" i="9"/>
  <c r="AS48" i="9"/>
  <c r="AS55" i="9" s="1"/>
  <c r="AR57" i="9" s="1"/>
  <c r="AS57" i="9" s="1"/>
  <c r="AR48" i="9"/>
  <c r="AN48" i="9"/>
  <c r="AN55" i="9" s="1"/>
  <c r="AM57" i="9" s="1"/>
  <c r="AM48" i="9"/>
  <c r="AI48" i="9"/>
  <c r="AI55" i="9" s="1"/>
  <c r="AH57" i="9" s="1"/>
  <c r="AI57" i="9" s="1"/>
  <c r="AH48" i="9"/>
  <c r="AD48" i="9"/>
  <c r="AD55" i="9" s="1"/>
  <c r="AC57" i="9" s="1"/>
  <c r="AD57" i="9" s="1"/>
  <c r="AC48" i="9"/>
  <c r="R44" i="9"/>
  <c r="P44" i="9"/>
  <c r="R43" i="9"/>
  <c r="AV42" i="9"/>
  <c r="AU42" i="9"/>
  <c r="AW42" i="9" s="1"/>
  <c r="U42" i="9" s="1"/>
  <c r="W42" i="9" s="1"/>
  <c r="AN42" i="9"/>
  <c r="AI42" i="9"/>
  <c r="Q44" i="9" s="1"/>
  <c r="AD42" i="9"/>
  <c r="T42" i="9"/>
  <c r="Q41" i="9"/>
  <c r="R40" i="9"/>
  <c r="Q40" i="9"/>
  <c r="T39" i="9" s="1"/>
  <c r="AV39" i="9"/>
  <c r="AW39" i="9" s="1"/>
  <c r="U39" i="9" s="1"/>
  <c r="W39" i="9" s="1"/>
  <c r="AU39" i="9"/>
  <c r="AN39" i="9"/>
  <c r="R41" i="9" s="1"/>
  <c r="AI39" i="9"/>
  <c r="AD39" i="9"/>
  <c r="R37" i="9"/>
  <c r="Q37" i="9"/>
  <c r="T36" i="9" s="1"/>
  <c r="AV36" i="9"/>
  <c r="AU36" i="9"/>
  <c r="AW36" i="9" s="1"/>
  <c r="U36" i="9" s="1"/>
  <c r="W36" i="9" s="1"/>
  <c r="AN36" i="9"/>
  <c r="R38" i="9" s="1"/>
  <c r="AI36" i="9"/>
  <c r="Q38" i="9" s="1"/>
  <c r="AD36" i="9"/>
  <c r="P38" i="9" s="1"/>
  <c r="R35" i="9"/>
  <c r="P35" i="9"/>
  <c r="R34" i="9"/>
  <c r="Q34" i="9"/>
  <c r="P34" i="9"/>
  <c r="AV33" i="9"/>
  <c r="AU33" i="9"/>
  <c r="AW33" i="9" s="1"/>
  <c r="U33" i="9" s="1"/>
  <c r="W33" i="9" s="1"/>
  <c r="AN33" i="9"/>
  <c r="AI33" i="9"/>
  <c r="Q35" i="9" s="1"/>
  <c r="AD33" i="9"/>
  <c r="T33" i="9"/>
  <c r="R31" i="9"/>
  <c r="P31" i="9"/>
  <c r="AV30" i="9"/>
  <c r="AN30" i="9"/>
  <c r="R32" i="9" s="1"/>
  <c r="AK30" i="9"/>
  <c r="AI30" i="9"/>
  <c r="Q32" i="9" s="1"/>
  <c r="AF30" i="9"/>
  <c r="Q31" i="9" s="1"/>
  <c r="T30" i="9" s="1"/>
  <c r="AD30" i="9"/>
  <c r="P32" i="9" s="1"/>
  <c r="AA30" i="9"/>
  <c r="AU30" i="9" s="1"/>
  <c r="AW30" i="9" s="1"/>
  <c r="U30" i="9" s="1"/>
  <c r="W30" i="9" s="1"/>
  <c r="Q28" i="9"/>
  <c r="AI27" i="9"/>
  <c r="AD27" i="9"/>
  <c r="Q26" i="9"/>
  <c r="R25" i="9"/>
  <c r="Q25" i="9"/>
  <c r="P25" i="9"/>
  <c r="T24" i="9" s="1"/>
  <c r="AV24" i="9"/>
  <c r="AU24" i="9"/>
  <c r="AW24" i="9" s="1"/>
  <c r="U24" i="9" s="1"/>
  <c r="W24" i="9" s="1"/>
  <c r="AN24" i="9"/>
  <c r="R26" i="9" s="1"/>
  <c r="AI24" i="9"/>
  <c r="AD24" i="9"/>
  <c r="P26" i="9" s="1"/>
  <c r="R23" i="9"/>
  <c r="P23" i="9"/>
  <c r="R22" i="9"/>
  <c r="Q22" i="9"/>
  <c r="P22" i="9"/>
  <c r="AV21" i="9"/>
  <c r="AU21" i="9"/>
  <c r="AW21" i="9" s="1"/>
  <c r="U21" i="9" s="1"/>
  <c r="W21" i="9" s="1"/>
  <c r="AN21" i="9"/>
  <c r="AI21" i="9"/>
  <c r="Q23" i="9" s="1"/>
  <c r="AD21" i="9"/>
  <c r="T21" i="9"/>
  <c r="AL20" i="9"/>
  <c r="AN20" i="9" s="1"/>
  <c r="R20" i="9" s="1"/>
  <c r="AG20" i="9"/>
  <c r="AI20" i="9" s="1"/>
  <c r="Q20" i="9" s="1"/>
  <c r="AB20" i="9"/>
  <c r="AD20" i="9" s="1"/>
  <c r="U20" i="9" s="1"/>
  <c r="W20" i="9" s="1"/>
  <c r="T20" i="9"/>
  <c r="AN19" i="9"/>
  <c r="AL19" i="9"/>
  <c r="AI19" i="9"/>
  <c r="AG19" i="9"/>
  <c r="AD19" i="9"/>
  <c r="AB19" i="9"/>
  <c r="W19" i="9"/>
  <c r="AN57" i="9" l="1"/>
  <c r="AK27" i="9"/>
  <c r="AU27" i="9" l="1"/>
  <c r="AW27" i="9" s="1"/>
  <c r="U27" i="9" s="1"/>
  <c r="W27" i="9" s="1"/>
  <c r="AN27" i="9"/>
  <c r="R28" i="9" s="1"/>
  <c r="AB54" i="8" l="1"/>
  <c r="AM47" i="8"/>
  <c r="AH47" i="8"/>
  <c r="AI47" i="8" s="1"/>
  <c r="R48" i="8" s="1"/>
  <c r="AE47" i="8"/>
  <c r="AN47" i="8" s="1"/>
  <c r="AC47" i="8"/>
  <c r="P48" i="8" s="1"/>
  <c r="R47" i="8"/>
  <c r="Q47" i="8"/>
  <c r="P47" i="8"/>
  <c r="T46" i="8" s="1"/>
  <c r="AM44" i="8"/>
  <c r="AH44" i="8"/>
  <c r="AG44" i="8"/>
  <c r="AI44" i="8" s="1"/>
  <c r="R45" i="8" s="1"/>
  <c r="AF44" i="8"/>
  <c r="Q45" i="8" s="1"/>
  <c r="AE44" i="8"/>
  <c r="AN44" i="8" s="1"/>
  <c r="AD44" i="8"/>
  <c r="Q44" i="8" s="1"/>
  <c r="T43" i="8" s="1"/>
  <c r="AC44" i="8"/>
  <c r="P45" i="8" s="1"/>
  <c r="R44" i="8"/>
  <c r="P44" i="8"/>
  <c r="AO41" i="8"/>
  <c r="U40" i="8" s="1"/>
  <c r="AN41" i="8"/>
  <c r="AM41" i="8"/>
  <c r="AI41" i="8"/>
  <c r="R42" i="8" s="1"/>
  <c r="AF41" i="8"/>
  <c r="Q42" i="8" s="1"/>
  <c r="AC41" i="8"/>
  <c r="P42" i="8" s="1"/>
  <c r="R41" i="8"/>
  <c r="Q41" i="8"/>
  <c r="P41" i="8"/>
  <c r="T40" i="8" s="1"/>
  <c r="AM38" i="8"/>
  <c r="AH38" i="8"/>
  <c r="AI38" i="8" s="1"/>
  <c r="R39" i="8" s="1"/>
  <c r="AG38" i="8"/>
  <c r="AF38" i="8"/>
  <c r="Q39" i="8" s="1"/>
  <c r="AE38" i="8"/>
  <c r="AN38" i="8" s="1"/>
  <c r="AD38" i="8"/>
  <c r="Q38" i="8" s="1"/>
  <c r="T37" i="8" s="1"/>
  <c r="AC38" i="8"/>
  <c r="P39" i="8" s="1"/>
  <c r="R38" i="8"/>
  <c r="P38" i="8"/>
  <c r="AM35" i="8"/>
  <c r="AH35" i="8"/>
  <c r="AI35" i="8" s="1"/>
  <c r="R36" i="8" s="1"/>
  <c r="AE35" i="8"/>
  <c r="AN35" i="8" s="1"/>
  <c r="AO35" i="8" s="1"/>
  <c r="U34" i="8" s="1"/>
  <c r="AC35" i="8"/>
  <c r="P36" i="8" s="1"/>
  <c r="R35" i="8"/>
  <c r="Q35" i="8"/>
  <c r="P35" i="8"/>
  <c r="T34" i="8"/>
  <c r="AM32" i="8"/>
  <c r="AH32" i="8"/>
  <c r="AI32" i="8" s="1"/>
  <c r="R33" i="8" s="1"/>
  <c r="AE32" i="8"/>
  <c r="AN32" i="8" s="1"/>
  <c r="AO32" i="8" s="1"/>
  <c r="U31" i="8" s="1"/>
  <c r="AC32" i="8"/>
  <c r="P33" i="8" s="1"/>
  <c r="R32" i="8"/>
  <c r="Q32" i="8"/>
  <c r="P32" i="8"/>
  <c r="T31" i="8"/>
  <c r="AO29" i="8"/>
  <c r="U28" i="8" s="1"/>
  <c r="AN29" i="8"/>
  <c r="AM29" i="8"/>
  <c r="AI29" i="8"/>
  <c r="R30" i="8" s="1"/>
  <c r="AF29" i="8"/>
  <c r="Q30" i="8" s="1"/>
  <c r="AC29" i="8"/>
  <c r="P30" i="8" s="1"/>
  <c r="R29" i="8"/>
  <c r="Q29" i="8"/>
  <c r="P29" i="8"/>
  <c r="T28" i="8" s="1"/>
  <c r="Q27" i="8"/>
  <c r="AN26" i="8"/>
  <c r="AM26" i="8"/>
  <c r="AO26" i="8" s="1"/>
  <c r="U25" i="8" s="1"/>
  <c r="AG26" i="8"/>
  <c r="AI26" i="8" s="1"/>
  <c r="R27" i="8" s="1"/>
  <c r="AC26" i="8"/>
  <c r="P27" i="8" s="1"/>
  <c r="R26" i="8"/>
  <c r="Q26" i="8"/>
  <c r="P26" i="8"/>
  <c r="T25" i="8"/>
  <c r="Q25" i="8"/>
  <c r="R25" i="8" s="1"/>
  <c r="AI23" i="8"/>
  <c r="R24" i="8" s="1"/>
  <c r="AH23" i="8"/>
  <c r="AF23" i="8"/>
  <c r="Q24" i="8" s="1"/>
  <c r="AE23" i="8"/>
  <c r="AC23" i="8"/>
  <c r="P24" i="8" s="1"/>
  <c r="U22" i="8" s="1"/>
  <c r="W22" i="8" s="1"/>
  <c r="AB23" i="8"/>
  <c r="R23" i="8"/>
  <c r="Q23" i="8"/>
  <c r="P23" i="8"/>
  <c r="T22" i="8" s="1"/>
  <c r="R21" i="8"/>
  <c r="Q21" i="8"/>
  <c r="AH20" i="8"/>
  <c r="AE20" i="8"/>
  <c r="AB20" i="8"/>
  <c r="AC20" i="8" s="1"/>
  <c r="P21" i="8" s="1"/>
  <c r="U19" i="8" s="1"/>
  <c r="W19" i="8" s="1"/>
  <c r="R20" i="8"/>
  <c r="Q20" i="8"/>
  <c r="P20" i="8"/>
  <c r="T19" i="8"/>
  <c r="AO47" i="8" l="1"/>
  <c r="U46" i="8" s="1"/>
  <c r="AO38" i="8"/>
  <c r="U37" i="8" s="1"/>
  <c r="AO44" i="8"/>
  <c r="U43" i="8" s="1"/>
  <c r="AF32" i="8"/>
  <c r="Q33" i="8" s="1"/>
  <c r="AF35" i="8"/>
  <c r="Q36" i="8" s="1"/>
  <c r="AF47" i="8"/>
  <c r="Q48" i="8" s="1"/>
  <c r="AI246" i="7" l="1"/>
  <c r="AI245" i="7"/>
  <c r="AH241" i="7"/>
  <c r="AE241" i="7"/>
  <c r="AI240" i="7"/>
  <c r="AI241" i="7" s="1"/>
  <c r="AI242" i="7" s="1"/>
  <c r="AI243" i="7" s="1"/>
  <c r="AH247" i="7" s="1"/>
  <c r="AG240" i="7"/>
  <c r="AG241" i="7" s="1"/>
  <c r="AD240" i="7"/>
  <c r="AD241" i="7" s="1"/>
  <c r="AA240" i="7"/>
  <c r="AA241" i="7" s="1"/>
  <c r="AF239" i="7"/>
  <c r="AF241" i="7" s="1"/>
  <c r="AB239" i="7"/>
  <c r="AC238" i="7"/>
  <c r="AB238" i="7"/>
  <c r="AC237" i="7"/>
  <c r="AG236" i="7"/>
  <c r="AF236" i="7"/>
  <c r="AC236" i="7"/>
  <c r="AB236" i="7"/>
  <c r="AG235" i="7"/>
  <c r="AF235" i="7"/>
  <c r="AC235" i="7"/>
  <c r="AG234" i="7"/>
  <c r="AF234" i="7"/>
  <c r="AC234" i="7"/>
  <c r="AI222" i="7"/>
  <c r="AI223" i="7" s="1"/>
  <c r="AI221" i="7"/>
  <c r="AH221" i="7"/>
  <c r="AG220" i="7"/>
  <c r="AG221" i="7" s="1"/>
  <c r="AE220" i="7"/>
  <c r="AE221" i="7" s="1"/>
  <c r="AD220" i="7"/>
  <c r="AD221" i="7" s="1"/>
  <c r="AB222" i="7" s="1"/>
  <c r="AA223" i="7" s="1"/>
  <c r="AI227" i="7" s="1"/>
  <c r="AI228" i="7" s="1"/>
  <c r="AF219" i="7"/>
  <c r="AG216" i="7"/>
  <c r="AF216" i="7"/>
  <c r="AG215" i="7"/>
  <c r="AF215" i="7"/>
  <c r="AF220" i="7" s="1"/>
  <c r="AF221" i="7" s="1"/>
  <c r="AG214" i="7"/>
  <c r="AF214" i="7"/>
  <c r="AI207" i="7"/>
  <c r="AG204" i="7"/>
  <c r="R194" i="7"/>
  <c r="R193" i="7"/>
  <c r="Q193" i="7"/>
  <c r="T192" i="7" s="1"/>
  <c r="P193" i="7"/>
  <c r="AR192" i="7"/>
  <c r="AQ192" i="7"/>
  <c r="AK192" i="7"/>
  <c r="AG192" i="7"/>
  <c r="Q194" i="7" s="1"/>
  <c r="AC192" i="7"/>
  <c r="P194" i="7" s="1"/>
  <c r="R191" i="7"/>
  <c r="Q191" i="7"/>
  <c r="R190" i="7"/>
  <c r="Q190" i="7"/>
  <c r="P190" i="7"/>
  <c r="T189" i="7" s="1"/>
  <c r="AR189" i="7"/>
  <c r="AQ189" i="7"/>
  <c r="AS189" i="7" s="1"/>
  <c r="U189" i="7" s="1"/>
  <c r="W189" i="7" s="1"/>
  <c r="AK189" i="7"/>
  <c r="AG189" i="7"/>
  <c r="AC189" i="7"/>
  <c r="P191" i="7" s="1"/>
  <c r="P188" i="7"/>
  <c r="R187" i="7"/>
  <c r="Q187" i="7"/>
  <c r="P187" i="7"/>
  <c r="AS186" i="7"/>
  <c r="U186" i="7" s="1"/>
  <c r="W186" i="7" s="1"/>
  <c r="AR186" i="7"/>
  <c r="AQ186" i="7"/>
  <c r="AK186" i="7"/>
  <c r="R188" i="7" s="1"/>
  <c r="AG186" i="7"/>
  <c r="Q188" i="7" s="1"/>
  <c r="AC186" i="7"/>
  <c r="T186" i="7"/>
  <c r="P185" i="7"/>
  <c r="R184" i="7"/>
  <c r="T183" i="7" s="1"/>
  <c r="Q184" i="7"/>
  <c r="P184" i="7"/>
  <c r="AS183" i="7"/>
  <c r="U183" i="7" s="1"/>
  <c r="W183" i="7" s="1"/>
  <c r="AR183" i="7"/>
  <c r="AQ183" i="7"/>
  <c r="AK183" i="7"/>
  <c r="R185" i="7" s="1"/>
  <c r="AG183" i="7"/>
  <c r="Q185" i="7" s="1"/>
  <c r="AC183" i="7"/>
  <c r="R182" i="7"/>
  <c r="R181" i="7"/>
  <c r="Q181" i="7"/>
  <c r="P181" i="7"/>
  <c r="AR180" i="7"/>
  <c r="AQ180" i="7"/>
  <c r="AS180" i="7" s="1"/>
  <c r="U180" i="7" s="1"/>
  <c r="W180" i="7" s="1"/>
  <c r="AK180" i="7"/>
  <c r="AG180" i="7"/>
  <c r="Q182" i="7" s="1"/>
  <c r="AC180" i="7"/>
  <c r="P182" i="7" s="1"/>
  <c r="Q179" i="7"/>
  <c r="R178" i="7"/>
  <c r="Q178" i="7"/>
  <c r="P178" i="7"/>
  <c r="AR177" i="7"/>
  <c r="AQ177" i="7"/>
  <c r="AS177" i="7" s="1"/>
  <c r="AK177" i="7"/>
  <c r="R179" i="7" s="1"/>
  <c r="AG177" i="7"/>
  <c r="AC177" i="7"/>
  <c r="P179" i="7" s="1"/>
  <c r="U177" i="7"/>
  <c r="W177" i="7" s="1"/>
  <c r="Q176" i="7"/>
  <c r="P176" i="7"/>
  <c r="R175" i="7"/>
  <c r="Q175" i="7"/>
  <c r="P175" i="7"/>
  <c r="AS174" i="7"/>
  <c r="AR174" i="7"/>
  <c r="AQ174" i="7"/>
  <c r="AK174" i="7"/>
  <c r="R176" i="7" s="1"/>
  <c r="AG174" i="7"/>
  <c r="AC174" i="7"/>
  <c r="U174" i="7"/>
  <c r="W174" i="7" s="1"/>
  <c r="T174" i="7"/>
  <c r="R172" i="7"/>
  <c r="Q172" i="7"/>
  <c r="P172" i="7"/>
  <c r="AR171" i="7"/>
  <c r="AS171" i="7" s="1"/>
  <c r="U171" i="7" s="1"/>
  <c r="W171" i="7" s="1"/>
  <c r="AQ171" i="7"/>
  <c r="AK171" i="7"/>
  <c r="R173" i="7" s="1"/>
  <c r="AG171" i="7"/>
  <c r="Q173" i="7" s="1"/>
  <c r="AC171" i="7"/>
  <c r="P173" i="7" s="1"/>
  <c r="T171" i="7"/>
  <c r="R170" i="7"/>
  <c r="R169" i="7"/>
  <c r="Q169" i="7"/>
  <c r="T168" i="7" s="1"/>
  <c r="P169" i="7"/>
  <c r="AR168" i="7"/>
  <c r="AQ168" i="7"/>
  <c r="AK168" i="7"/>
  <c r="AG168" i="7"/>
  <c r="Q170" i="7" s="1"/>
  <c r="AC168" i="7"/>
  <c r="P170" i="7" s="1"/>
  <c r="R167" i="7"/>
  <c r="Q167" i="7"/>
  <c r="R166" i="7"/>
  <c r="Q166" i="7"/>
  <c r="P166" i="7"/>
  <c r="T165" i="7" s="1"/>
  <c r="AR165" i="7"/>
  <c r="AQ165" i="7"/>
  <c r="AS165" i="7" s="1"/>
  <c r="U165" i="7" s="1"/>
  <c r="W165" i="7" s="1"/>
  <c r="AK165" i="7"/>
  <c r="AG165" i="7"/>
  <c r="AC165" i="7"/>
  <c r="P167" i="7" s="1"/>
  <c r="P164" i="7"/>
  <c r="R163" i="7"/>
  <c r="Q163" i="7"/>
  <c r="P163" i="7"/>
  <c r="AS162" i="7"/>
  <c r="U162" i="7" s="1"/>
  <c r="W162" i="7" s="1"/>
  <c r="AR162" i="7"/>
  <c r="AQ162" i="7"/>
  <c r="AK162" i="7"/>
  <c r="R164" i="7" s="1"/>
  <c r="AG162" i="7"/>
  <c r="Q164" i="7" s="1"/>
  <c r="AC162" i="7"/>
  <c r="T162" i="7"/>
  <c r="P161" i="7"/>
  <c r="R160" i="7"/>
  <c r="T159" i="7" s="1"/>
  <c r="Q160" i="7"/>
  <c r="P160" i="7"/>
  <c r="AS159" i="7"/>
  <c r="U159" i="7" s="1"/>
  <c r="W159" i="7" s="1"/>
  <c r="AR159" i="7"/>
  <c r="AQ159" i="7"/>
  <c r="AK159" i="7"/>
  <c r="R161" i="7" s="1"/>
  <c r="AG159" i="7"/>
  <c r="Q161" i="7" s="1"/>
  <c r="AC159" i="7"/>
  <c r="R158" i="7"/>
  <c r="R157" i="7"/>
  <c r="Q157" i="7"/>
  <c r="P157" i="7"/>
  <c r="AR156" i="7"/>
  <c r="AQ156" i="7"/>
  <c r="AS156" i="7" s="1"/>
  <c r="U156" i="7" s="1"/>
  <c r="W156" i="7" s="1"/>
  <c r="AK156" i="7"/>
  <c r="AG156" i="7"/>
  <c r="Q158" i="7" s="1"/>
  <c r="AC156" i="7"/>
  <c r="P158" i="7" s="1"/>
  <c r="Q155" i="7"/>
  <c r="R154" i="7"/>
  <c r="Q154" i="7"/>
  <c r="P154" i="7"/>
  <c r="AR153" i="7"/>
  <c r="AQ153" i="7"/>
  <c r="AS153" i="7" s="1"/>
  <c r="AK153" i="7"/>
  <c r="R155" i="7" s="1"/>
  <c r="AG153" i="7"/>
  <c r="AC153" i="7"/>
  <c r="P155" i="7" s="1"/>
  <c r="U153" i="7"/>
  <c r="W153" i="7" s="1"/>
  <c r="Q152" i="7"/>
  <c r="P152" i="7"/>
  <c r="R151" i="7"/>
  <c r="Q151" i="7"/>
  <c r="P151" i="7"/>
  <c r="AS150" i="7"/>
  <c r="AR150" i="7"/>
  <c r="AQ150" i="7"/>
  <c r="AK150" i="7"/>
  <c r="R152" i="7" s="1"/>
  <c r="AG150" i="7"/>
  <c r="AC150" i="7"/>
  <c r="U150" i="7"/>
  <c r="W150" i="7" s="1"/>
  <c r="T150" i="7"/>
  <c r="R148" i="7"/>
  <c r="Q148" i="7"/>
  <c r="P148" i="7"/>
  <c r="AR147" i="7"/>
  <c r="AS147" i="7" s="1"/>
  <c r="U147" i="7" s="1"/>
  <c r="W147" i="7" s="1"/>
  <c r="AQ147" i="7"/>
  <c r="AK147" i="7"/>
  <c r="R149" i="7" s="1"/>
  <c r="AG147" i="7"/>
  <c r="Q149" i="7" s="1"/>
  <c r="AC147" i="7"/>
  <c r="P149" i="7" s="1"/>
  <c r="T147" i="7"/>
  <c r="R146" i="7"/>
  <c r="R145" i="7"/>
  <c r="Q145" i="7"/>
  <c r="T144" i="7" s="1"/>
  <c r="P145" i="7"/>
  <c r="AR144" i="7"/>
  <c r="AQ144" i="7"/>
  <c r="AK144" i="7"/>
  <c r="AG144" i="7"/>
  <c r="Q146" i="7" s="1"/>
  <c r="AC144" i="7"/>
  <c r="P146" i="7" s="1"/>
  <c r="R143" i="7"/>
  <c r="Q143" i="7"/>
  <c r="R142" i="7"/>
  <c r="Q142" i="7"/>
  <c r="P142" i="7"/>
  <c r="T141" i="7" s="1"/>
  <c r="AR141" i="7"/>
  <c r="AQ141" i="7"/>
  <c r="AS141" i="7" s="1"/>
  <c r="U141" i="7" s="1"/>
  <c r="W141" i="7" s="1"/>
  <c r="AK141" i="7"/>
  <c r="AG141" i="7"/>
  <c r="AC141" i="7"/>
  <c r="P143" i="7" s="1"/>
  <c r="P140" i="7"/>
  <c r="R139" i="7"/>
  <c r="Q139" i="7"/>
  <c r="P139" i="7"/>
  <c r="AS138" i="7"/>
  <c r="U138" i="7" s="1"/>
  <c r="W138" i="7" s="1"/>
  <c r="AR138" i="7"/>
  <c r="AQ138" i="7"/>
  <c r="AK138" i="7"/>
  <c r="R140" i="7" s="1"/>
  <c r="AG138" i="7"/>
  <c r="Q140" i="7" s="1"/>
  <c r="AC138" i="7"/>
  <c r="T138" i="7"/>
  <c r="P137" i="7"/>
  <c r="R136" i="7"/>
  <c r="T135" i="7" s="1"/>
  <c r="Q136" i="7"/>
  <c r="P136" i="7"/>
  <c r="AS135" i="7"/>
  <c r="U135" i="7" s="1"/>
  <c r="W135" i="7" s="1"/>
  <c r="AR135" i="7"/>
  <c r="AQ135" i="7"/>
  <c r="AK135" i="7"/>
  <c r="R137" i="7" s="1"/>
  <c r="AG135" i="7"/>
  <c r="Q137" i="7" s="1"/>
  <c r="AC135" i="7"/>
  <c r="R134" i="7"/>
  <c r="R133" i="7"/>
  <c r="Q133" i="7"/>
  <c r="P133" i="7"/>
  <c r="AR132" i="7"/>
  <c r="AQ132" i="7"/>
  <c r="AS132" i="7" s="1"/>
  <c r="U132" i="7" s="1"/>
  <c r="W132" i="7" s="1"/>
  <c r="AK132" i="7"/>
  <c r="AG132" i="7"/>
  <c r="Q134" i="7" s="1"/>
  <c r="AC132" i="7"/>
  <c r="P134" i="7" s="1"/>
  <c r="Q131" i="7"/>
  <c r="R130" i="7"/>
  <c r="Q130" i="7"/>
  <c r="P130" i="7"/>
  <c r="AR129" i="7"/>
  <c r="AQ129" i="7"/>
  <c r="AS129" i="7" s="1"/>
  <c r="AK129" i="7"/>
  <c r="R131" i="7" s="1"/>
  <c r="AG129" i="7"/>
  <c r="AC129" i="7"/>
  <c r="P131" i="7" s="1"/>
  <c r="U129" i="7"/>
  <c r="W129" i="7" s="1"/>
  <c r="Q128" i="7"/>
  <c r="P128" i="7"/>
  <c r="R127" i="7"/>
  <c r="Q127" i="7"/>
  <c r="P127" i="7"/>
  <c r="AS126" i="7"/>
  <c r="AR126" i="7"/>
  <c r="AQ126" i="7"/>
  <c r="AK126" i="7"/>
  <c r="R128" i="7" s="1"/>
  <c r="AG126" i="7"/>
  <c r="AC126" i="7"/>
  <c r="U126" i="7"/>
  <c r="W126" i="7" s="1"/>
  <c r="T126" i="7"/>
  <c r="R124" i="7"/>
  <c r="Q124" i="7"/>
  <c r="P124" i="7"/>
  <c r="AR123" i="7"/>
  <c r="AS123" i="7" s="1"/>
  <c r="U123" i="7" s="1"/>
  <c r="W123" i="7" s="1"/>
  <c r="AQ123" i="7"/>
  <c r="AK123" i="7"/>
  <c r="R125" i="7" s="1"/>
  <c r="AG123" i="7"/>
  <c r="Q125" i="7" s="1"/>
  <c r="AC123" i="7"/>
  <c r="P125" i="7" s="1"/>
  <c r="T123" i="7"/>
  <c r="R122" i="7"/>
  <c r="R121" i="7"/>
  <c r="Q121" i="7"/>
  <c r="T120" i="7" s="1"/>
  <c r="P121" i="7"/>
  <c r="AR120" i="7"/>
  <c r="AQ120" i="7"/>
  <c r="AK120" i="7"/>
  <c r="AG120" i="7"/>
  <c r="Q122" i="7" s="1"/>
  <c r="AC120" i="7"/>
  <c r="P122" i="7" s="1"/>
  <c r="R119" i="7"/>
  <c r="Q119" i="7"/>
  <c r="R118" i="7"/>
  <c r="Q118" i="7"/>
  <c r="P118" i="7"/>
  <c r="T117" i="7" s="1"/>
  <c r="AR117" i="7"/>
  <c r="AQ117" i="7"/>
  <c r="AK117" i="7"/>
  <c r="AG117" i="7"/>
  <c r="AC117" i="7"/>
  <c r="P119" i="7" s="1"/>
  <c r="Q116" i="7"/>
  <c r="P116" i="7"/>
  <c r="R115" i="7"/>
  <c r="Q115" i="7"/>
  <c r="P115" i="7"/>
  <c r="T114" i="7" s="1"/>
  <c r="AR114" i="7"/>
  <c r="AQ114" i="7"/>
  <c r="AS114" i="7" s="1"/>
  <c r="U114" i="7" s="1"/>
  <c r="W114" i="7" s="1"/>
  <c r="AK114" i="7"/>
  <c r="R116" i="7" s="1"/>
  <c r="AG114" i="7"/>
  <c r="AC114" i="7"/>
  <c r="R112" i="7"/>
  <c r="T111" i="7" s="1"/>
  <c r="Q112" i="7"/>
  <c r="P112" i="7"/>
  <c r="AR111" i="7"/>
  <c r="AS111" i="7" s="1"/>
  <c r="U111" i="7" s="1"/>
  <c r="W111" i="7" s="1"/>
  <c r="AQ111" i="7"/>
  <c r="AK111" i="7"/>
  <c r="R113" i="7" s="1"/>
  <c r="AG111" i="7"/>
  <c r="Q113" i="7" s="1"/>
  <c r="AC111" i="7"/>
  <c r="P113" i="7" s="1"/>
  <c r="R110" i="7"/>
  <c r="P110" i="7"/>
  <c r="R109" i="7"/>
  <c r="Q109" i="7"/>
  <c r="P109" i="7"/>
  <c r="AS108" i="7"/>
  <c r="U108" i="7" s="1"/>
  <c r="W108" i="7" s="1"/>
  <c r="AR108" i="7"/>
  <c r="AQ108" i="7"/>
  <c r="AK108" i="7"/>
  <c r="AG108" i="7"/>
  <c r="Q110" i="7" s="1"/>
  <c r="AC108" i="7"/>
  <c r="T108" i="7"/>
  <c r="R107" i="7"/>
  <c r="Q107" i="7"/>
  <c r="R106" i="7"/>
  <c r="Q106" i="7"/>
  <c r="P106" i="7"/>
  <c r="T105" i="7" s="1"/>
  <c r="AR105" i="7"/>
  <c r="AQ105" i="7"/>
  <c r="AK105" i="7"/>
  <c r="AG105" i="7"/>
  <c r="AC105" i="7"/>
  <c r="P107" i="7" s="1"/>
  <c r="R104" i="7"/>
  <c r="Q104" i="7"/>
  <c r="P104" i="7"/>
  <c r="R103" i="7"/>
  <c r="Q103" i="7"/>
  <c r="P103" i="7"/>
  <c r="T102" i="7" s="1"/>
  <c r="AR102" i="7"/>
  <c r="AQ102" i="7"/>
  <c r="AS102" i="7" s="1"/>
  <c r="U102" i="7" s="1"/>
  <c r="W102" i="7" s="1"/>
  <c r="AK102" i="7"/>
  <c r="AG102" i="7"/>
  <c r="AC102" i="7"/>
  <c r="P101" i="7"/>
  <c r="R100" i="7"/>
  <c r="Q100" i="7"/>
  <c r="P100" i="7"/>
  <c r="AS99" i="7"/>
  <c r="U99" i="7" s="1"/>
  <c r="W99" i="7" s="1"/>
  <c r="AR99" i="7"/>
  <c r="AQ99" i="7"/>
  <c r="AK99" i="7"/>
  <c r="R101" i="7" s="1"/>
  <c r="AG99" i="7"/>
  <c r="Q101" i="7" s="1"/>
  <c r="AC99" i="7"/>
  <c r="T99" i="7"/>
  <c r="R98" i="7"/>
  <c r="P98" i="7"/>
  <c r="R97" i="7"/>
  <c r="Q97" i="7"/>
  <c r="P97" i="7"/>
  <c r="AR96" i="7"/>
  <c r="AQ96" i="7"/>
  <c r="AS96" i="7" s="1"/>
  <c r="U96" i="7" s="1"/>
  <c r="W96" i="7" s="1"/>
  <c r="AK96" i="7"/>
  <c r="AG96" i="7"/>
  <c r="Q98" i="7" s="1"/>
  <c r="AC96" i="7"/>
  <c r="T96" i="7"/>
  <c r="Q95" i="7"/>
  <c r="R94" i="7"/>
  <c r="Q94" i="7"/>
  <c r="P94" i="7"/>
  <c r="AR93" i="7"/>
  <c r="AQ93" i="7"/>
  <c r="AS93" i="7" s="1"/>
  <c r="AK93" i="7"/>
  <c r="R95" i="7" s="1"/>
  <c r="AG93" i="7"/>
  <c r="AC93" i="7"/>
  <c r="P95" i="7" s="1"/>
  <c r="U93" i="7"/>
  <c r="W93" i="7" s="1"/>
  <c r="R91" i="7"/>
  <c r="Q91" i="7"/>
  <c r="P91" i="7"/>
  <c r="AV90" i="7"/>
  <c r="AU90" i="7"/>
  <c r="AR90" i="7"/>
  <c r="AS90" i="7" s="1"/>
  <c r="U90" i="7" s="1"/>
  <c r="W90" i="7" s="1"/>
  <c r="AQ90" i="7"/>
  <c r="AK90" i="7"/>
  <c r="R92" i="7" s="1"/>
  <c r="AG90" i="7"/>
  <c r="Q92" i="7" s="1"/>
  <c r="AC90" i="7"/>
  <c r="P92" i="7" s="1"/>
  <c r="T90" i="7"/>
  <c r="R89" i="7"/>
  <c r="R88" i="7"/>
  <c r="Q88" i="7"/>
  <c r="T87" i="7" s="1"/>
  <c r="P88" i="7"/>
  <c r="AR87" i="7"/>
  <c r="AS87" i="7" s="1"/>
  <c r="U87" i="7" s="1"/>
  <c r="W87" i="7" s="1"/>
  <c r="AQ87" i="7"/>
  <c r="AK87" i="7"/>
  <c r="AG87" i="7"/>
  <c r="Q89" i="7" s="1"/>
  <c r="AC87" i="7"/>
  <c r="P89" i="7" s="1"/>
  <c r="R86" i="7"/>
  <c r="Q86" i="7"/>
  <c r="R85" i="7"/>
  <c r="Q85" i="7"/>
  <c r="P85" i="7"/>
  <c r="T84" i="7" s="1"/>
  <c r="AR84" i="7"/>
  <c r="AQ84" i="7"/>
  <c r="AK84" i="7"/>
  <c r="AG84" i="7"/>
  <c r="AC84" i="7"/>
  <c r="P86" i="7" s="1"/>
  <c r="Q83" i="7"/>
  <c r="P83" i="7"/>
  <c r="R82" i="7"/>
  <c r="Q82" i="7"/>
  <c r="P82" i="7"/>
  <c r="T81" i="7" s="1"/>
  <c r="AR81" i="7"/>
  <c r="AQ81" i="7"/>
  <c r="AS81" i="7" s="1"/>
  <c r="U81" i="7" s="1"/>
  <c r="W81" i="7" s="1"/>
  <c r="AK81" i="7"/>
  <c r="R83" i="7" s="1"/>
  <c r="AG81" i="7"/>
  <c r="AC81" i="7"/>
  <c r="R79" i="7"/>
  <c r="T78" i="7" s="1"/>
  <c r="Q79" i="7"/>
  <c r="P79" i="7"/>
  <c r="AR78" i="7"/>
  <c r="AS78" i="7" s="1"/>
  <c r="U78" i="7" s="1"/>
  <c r="W78" i="7" s="1"/>
  <c r="AQ78" i="7"/>
  <c r="AK78" i="7"/>
  <c r="R80" i="7" s="1"/>
  <c r="AG78" i="7"/>
  <c r="Q80" i="7" s="1"/>
  <c r="AC78" i="7"/>
  <c r="P80" i="7" s="1"/>
  <c r="R77" i="7"/>
  <c r="P77" i="7"/>
  <c r="R76" i="7"/>
  <c r="Q76" i="7"/>
  <c r="P76" i="7"/>
  <c r="AS75" i="7"/>
  <c r="U75" i="7" s="1"/>
  <c r="W75" i="7" s="1"/>
  <c r="AR75" i="7"/>
  <c r="AQ75" i="7"/>
  <c r="AK75" i="7"/>
  <c r="AG75" i="7"/>
  <c r="Q77" i="7" s="1"/>
  <c r="AC75" i="7"/>
  <c r="T75" i="7"/>
  <c r="R74" i="7"/>
  <c r="Q74" i="7"/>
  <c r="R73" i="7"/>
  <c r="Q73" i="7"/>
  <c r="P73" i="7"/>
  <c r="T72" i="7" s="1"/>
  <c r="AR72" i="7"/>
  <c r="AQ72" i="7"/>
  <c r="AK72" i="7"/>
  <c r="AG72" i="7"/>
  <c r="AC72" i="7"/>
  <c r="P74" i="7" s="1"/>
  <c r="R71" i="7"/>
  <c r="Q71" i="7"/>
  <c r="P71" i="7"/>
  <c r="R70" i="7"/>
  <c r="Q70" i="7"/>
  <c r="P70" i="7"/>
  <c r="T69" i="7" s="1"/>
  <c r="AR69" i="7"/>
  <c r="AQ69" i="7"/>
  <c r="AS69" i="7" s="1"/>
  <c r="U69" i="7" s="1"/>
  <c r="W69" i="7" s="1"/>
  <c r="AK69" i="7"/>
  <c r="AG69" i="7"/>
  <c r="AC69" i="7"/>
  <c r="P68" i="7"/>
  <c r="R67" i="7"/>
  <c r="Q67" i="7"/>
  <c r="P67" i="7"/>
  <c r="AS66" i="7"/>
  <c r="U66" i="7" s="1"/>
  <c r="W66" i="7" s="1"/>
  <c r="AR66" i="7"/>
  <c r="AQ66" i="7"/>
  <c r="AK66" i="7"/>
  <c r="R68" i="7" s="1"/>
  <c r="AG66" i="7"/>
  <c r="Q68" i="7" s="1"/>
  <c r="AC66" i="7"/>
  <c r="T66" i="7"/>
  <c r="R65" i="7"/>
  <c r="P65" i="7"/>
  <c r="R64" i="7"/>
  <c r="Q64" i="7"/>
  <c r="P64" i="7"/>
  <c r="AR63" i="7"/>
  <c r="AQ63" i="7"/>
  <c r="AS63" i="7" s="1"/>
  <c r="U63" i="7" s="1"/>
  <c r="W63" i="7" s="1"/>
  <c r="AK63" i="7"/>
  <c r="AG63" i="7"/>
  <c r="Q65" i="7" s="1"/>
  <c r="AC63" i="7"/>
  <c r="T63" i="7"/>
  <c r="R61" i="7"/>
  <c r="Q61" i="7"/>
  <c r="P61" i="7"/>
  <c r="T60" i="7" s="1"/>
  <c r="AR60" i="7"/>
  <c r="AQ60" i="7"/>
  <c r="AS60" i="7" s="1"/>
  <c r="U60" i="7" s="1"/>
  <c r="W60" i="7" s="1"/>
  <c r="AK60" i="7"/>
  <c r="R62" i="7" s="1"/>
  <c r="AG60" i="7"/>
  <c r="Q62" i="7" s="1"/>
  <c r="AC60" i="7"/>
  <c r="P62" i="7" s="1"/>
  <c r="Q59" i="7"/>
  <c r="P59" i="7"/>
  <c r="R58" i="7"/>
  <c r="Q58" i="7"/>
  <c r="P58" i="7"/>
  <c r="T57" i="7" s="1"/>
  <c r="AR57" i="7"/>
  <c r="AQ57" i="7"/>
  <c r="AS57" i="7" s="1"/>
  <c r="U57" i="7" s="1"/>
  <c r="W57" i="7" s="1"/>
  <c r="AK57" i="7"/>
  <c r="R59" i="7" s="1"/>
  <c r="AG57" i="7"/>
  <c r="AC57" i="7"/>
  <c r="P56" i="7"/>
  <c r="R55" i="7"/>
  <c r="Q55" i="7"/>
  <c r="P55" i="7"/>
  <c r="T54" i="7" s="1"/>
  <c r="AS54" i="7"/>
  <c r="AR54" i="7"/>
  <c r="AQ54" i="7"/>
  <c r="AK54" i="7"/>
  <c r="R56" i="7" s="1"/>
  <c r="AG54" i="7"/>
  <c r="Q56" i="7" s="1"/>
  <c r="AD54" i="7"/>
  <c r="AC54" i="7"/>
  <c r="U54" i="7"/>
  <c r="W54" i="7" s="1"/>
  <c r="P53" i="7"/>
  <c r="R52" i="7"/>
  <c r="Q52" i="7"/>
  <c r="P52" i="7"/>
  <c r="T51" i="7" s="1"/>
  <c r="AS51" i="7"/>
  <c r="AR51" i="7"/>
  <c r="AQ51" i="7"/>
  <c r="AK51" i="7"/>
  <c r="R53" i="7" s="1"/>
  <c r="AG51" i="7"/>
  <c r="Q53" i="7" s="1"/>
  <c r="AD51" i="7"/>
  <c r="AC51" i="7"/>
  <c r="U51" i="7"/>
  <c r="W51" i="7" s="1"/>
  <c r="P50" i="7"/>
  <c r="R49" i="7"/>
  <c r="Q49" i="7"/>
  <c r="P49" i="7"/>
  <c r="T48" i="7" s="1"/>
  <c r="AS48" i="7"/>
  <c r="AR48" i="7"/>
  <c r="AQ48" i="7"/>
  <c r="AK48" i="7"/>
  <c r="R50" i="7" s="1"/>
  <c r="AG48" i="7"/>
  <c r="Q50" i="7" s="1"/>
  <c r="AD48" i="7"/>
  <c r="AC48" i="7"/>
  <c r="U48" i="7"/>
  <c r="W48" i="7" s="1"/>
  <c r="P47" i="7"/>
  <c r="R46" i="7"/>
  <c r="Q46" i="7"/>
  <c r="P46" i="7"/>
  <c r="T45" i="7" s="1"/>
  <c r="AS45" i="7"/>
  <c r="AR45" i="7"/>
  <c r="AQ45" i="7"/>
  <c r="AK45" i="7"/>
  <c r="R47" i="7" s="1"/>
  <c r="AG45" i="7"/>
  <c r="Q47" i="7" s="1"/>
  <c r="AD45" i="7"/>
  <c r="AC45" i="7"/>
  <c r="U45" i="7"/>
  <c r="W45" i="7" s="1"/>
  <c r="P44" i="7"/>
  <c r="R43" i="7"/>
  <c r="Q43" i="7"/>
  <c r="P43" i="7"/>
  <c r="AS42" i="7"/>
  <c r="U42" i="7" s="1"/>
  <c r="W42" i="7" s="1"/>
  <c r="AR42" i="7"/>
  <c r="AQ42" i="7"/>
  <c r="AK42" i="7"/>
  <c r="R44" i="7" s="1"/>
  <c r="AG42" i="7"/>
  <c r="Q44" i="7" s="1"/>
  <c r="AC42" i="7"/>
  <c r="T42" i="7"/>
  <c r="R41" i="7"/>
  <c r="R40" i="7"/>
  <c r="T39" i="7" s="1"/>
  <c r="Q40" i="7"/>
  <c r="P40" i="7"/>
  <c r="AR39" i="7"/>
  <c r="AS39" i="7" s="1"/>
  <c r="U39" i="7" s="1"/>
  <c r="W39" i="7" s="1"/>
  <c r="AQ39" i="7"/>
  <c r="AK39" i="7"/>
  <c r="AG39" i="7"/>
  <c r="Q41" i="7" s="1"/>
  <c r="AC39" i="7"/>
  <c r="P41" i="7" s="1"/>
  <c r="R38" i="7"/>
  <c r="Q38" i="7"/>
  <c r="R37" i="7"/>
  <c r="Q37" i="7"/>
  <c r="P37" i="7"/>
  <c r="T36" i="7" s="1"/>
  <c r="AR36" i="7"/>
  <c r="AQ36" i="7"/>
  <c r="AS36" i="7" s="1"/>
  <c r="U36" i="7" s="1"/>
  <c r="W36" i="7" s="1"/>
  <c r="AK36" i="7"/>
  <c r="AG36" i="7"/>
  <c r="AC36" i="7"/>
  <c r="P38" i="7" s="1"/>
  <c r="Q35" i="7"/>
  <c r="P35" i="7"/>
  <c r="R34" i="7"/>
  <c r="Q34" i="7"/>
  <c r="P34" i="7"/>
  <c r="T33" i="7" s="1"/>
  <c r="AR33" i="7"/>
  <c r="AQ33" i="7"/>
  <c r="AS33" i="7" s="1"/>
  <c r="U33" i="7" s="1"/>
  <c r="W33" i="7" s="1"/>
  <c r="AK33" i="7"/>
  <c r="R35" i="7" s="1"/>
  <c r="AG33" i="7"/>
  <c r="AC33" i="7"/>
  <c r="P32" i="7"/>
  <c r="R31" i="7"/>
  <c r="Q31" i="7"/>
  <c r="P31" i="7"/>
  <c r="AS30" i="7"/>
  <c r="U30" i="7" s="1"/>
  <c r="W30" i="7" s="1"/>
  <c r="AR30" i="7"/>
  <c r="AQ30" i="7"/>
  <c r="AK30" i="7"/>
  <c r="R32" i="7" s="1"/>
  <c r="AG30" i="7"/>
  <c r="Q32" i="7" s="1"/>
  <c r="AC30" i="7"/>
  <c r="T30" i="7"/>
  <c r="R29" i="7"/>
  <c r="R28" i="7"/>
  <c r="T27" i="7" s="1"/>
  <c r="Q28" i="7"/>
  <c r="P28" i="7"/>
  <c r="AR27" i="7"/>
  <c r="AS27" i="7" s="1"/>
  <c r="U27" i="7" s="1"/>
  <c r="W27" i="7" s="1"/>
  <c r="AQ27" i="7"/>
  <c r="AK27" i="7"/>
  <c r="AG27" i="7"/>
  <c r="Q29" i="7" s="1"/>
  <c r="AC27" i="7"/>
  <c r="P29" i="7" s="1"/>
  <c r="R26" i="7"/>
  <c r="R25" i="7"/>
  <c r="Q25" i="7"/>
  <c r="T24" i="7" s="1"/>
  <c r="P25" i="7"/>
  <c r="AU24" i="7"/>
  <c r="AR24" i="7"/>
  <c r="AS24" i="7" s="1"/>
  <c r="U24" i="7" s="1"/>
  <c r="W24" i="7" s="1"/>
  <c r="AQ24" i="7"/>
  <c r="AK24" i="7"/>
  <c r="AG24" i="7"/>
  <c r="Q26" i="7" s="1"/>
  <c r="AC24" i="7"/>
  <c r="P26" i="7" s="1"/>
  <c r="R23" i="7"/>
  <c r="Q23" i="7"/>
  <c r="R22" i="7"/>
  <c r="Q22" i="7"/>
  <c r="P22" i="7"/>
  <c r="T21" i="7" s="1"/>
  <c r="AR21" i="7"/>
  <c r="AQ21" i="7"/>
  <c r="AS21" i="7" s="1"/>
  <c r="U21" i="7" s="1"/>
  <c r="W21" i="7" s="1"/>
  <c r="AK21" i="7"/>
  <c r="AG21" i="7"/>
  <c r="AC21" i="7"/>
  <c r="P23" i="7" s="1"/>
  <c r="AT20" i="7"/>
  <c r="AC20" i="7"/>
  <c r="AB20" i="7"/>
  <c r="AC8" i="7" s="1"/>
  <c r="W20" i="7"/>
  <c r="AB19" i="7"/>
  <c r="AC7" i="7" s="1"/>
  <c r="W19" i="7"/>
  <c r="BM12" i="7"/>
  <c r="BJ12" i="7"/>
  <c r="AR11" i="7"/>
  <c r="AQ11" i="7"/>
  <c r="AC19" i="7" l="1"/>
  <c r="AW90" i="7"/>
  <c r="AC241" i="7"/>
  <c r="AS72" i="7"/>
  <c r="U72" i="7" s="1"/>
  <c r="W72" i="7" s="1"/>
  <c r="AS105" i="7"/>
  <c r="U105" i="7" s="1"/>
  <c r="W105" i="7" s="1"/>
  <c r="AS120" i="7"/>
  <c r="U120" i="7" s="1"/>
  <c r="W120" i="7" s="1"/>
  <c r="AS144" i="7"/>
  <c r="U144" i="7" s="1"/>
  <c r="W144" i="7" s="1"/>
  <c r="AS168" i="7"/>
  <c r="U168" i="7" s="1"/>
  <c r="W168" i="7" s="1"/>
  <c r="AS192" i="7"/>
  <c r="U192" i="7" s="1"/>
  <c r="W192" i="7" s="1"/>
  <c r="AS84" i="7"/>
  <c r="U84" i="7" s="1"/>
  <c r="W84" i="7" s="1"/>
  <c r="T93" i="7"/>
  <c r="AS117" i="7"/>
  <c r="U117" i="7" s="1"/>
  <c r="W117" i="7" s="1"/>
  <c r="T129" i="7"/>
  <c r="T132" i="7"/>
  <c r="T153" i="7"/>
  <c r="T156" i="7"/>
  <c r="T177" i="7"/>
  <c r="T180" i="7"/>
  <c r="AB241" i="7"/>
  <c r="AB242" i="7" s="1"/>
  <c r="AA243" i="7" s="1"/>
  <c r="AF247" i="7" l="1"/>
  <c r="AI247" i="7" s="1"/>
  <c r="AI249" i="7"/>
  <c r="AI250" i="7" s="1"/>
  <c r="N50" i="6" l="1"/>
  <c r="O47" i="6" s="1"/>
  <c r="N51" i="5"/>
  <c r="O51" i="5" s="1"/>
  <c r="O43" i="4"/>
  <c r="P43" i="4" s="1"/>
  <c r="O43" i="3"/>
  <c r="O43" i="2"/>
  <c r="N45" i="6" l="1"/>
  <c r="O42" i="6" s="1"/>
  <c r="N45" i="5"/>
  <c r="O45" i="5"/>
  <c r="O40" i="4"/>
  <c r="P40" i="4" s="1"/>
  <c r="O40" i="3"/>
  <c r="O40" i="2"/>
  <c r="N40" i="6" l="1"/>
  <c r="O37" i="6" s="1"/>
  <c r="N39" i="5"/>
  <c r="O39" i="5" s="1"/>
  <c r="O37" i="4"/>
  <c r="P37" i="4" s="1"/>
  <c r="M37" i="4"/>
  <c r="O37" i="3"/>
  <c r="O37" i="2"/>
  <c r="M46" i="4" l="1"/>
  <c r="L55" i="6" l="1"/>
  <c r="M52" i="6" s="1"/>
  <c r="L50" i="6" l="1"/>
  <c r="M47" i="6" s="1"/>
  <c r="L45" i="6" l="1"/>
  <c r="M42" i="6" s="1"/>
  <c r="L40" i="6" l="1"/>
  <c r="M37" i="6" s="1"/>
  <c r="L57" i="5"/>
  <c r="M57" i="5" s="1"/>
  <c r="L51" i="5"/>
  <c r="M51" i="5" s="1"/>
  <c r="L45" i="5"/>
  <c r="M45" i="5" s="1"/>
  <c r="L39" i="5"/>
  <c r="M39" i="5" s="1"/>
  <c r="N46" i="4"/>
  <c r="M43" i="4"/>
  <c r="N43" i="4" s="1"/>
  <c r="M40" i="4"/>
  <c r="N40" i="4" s="1"/>
  <c r="N37" i="4"/>
  <c r="K37" i="4"/>
  <c r="M46" i="3"/>
  <c r="M43" i="3"/>
  <c r="M40" i="3"/>
  <c r="M37" i="3"/>
  <c r="M46" i="2"/>
  <c r="M43" i="2"/>
  <c r="M40" i="2"/>
  <c r="M37" i="2"/>
  <c r="K46" i="4" l="1"/>
  <c r="K46" i="3"/>
  <c r="K43" i="3" l="1"/>
  <c r="K40" i="3" l="1"/>
  <c r="G62" i="4" l="1"/>
  <c r="E62" i="4"/>
  <c r="D46" i="4"/>
  <c r="D43" i="4"/>
  <c r="D40" i="4"/>
  <c r="B55" i="6"/>
  <c r="C52" i="6" s="1"/>
  <c r="B57" i="5"/>
  <c r="C57" i="5" s="1"/>
  <c r="C46" i="2"/>
  <c r="B50" i="6"/>
  <c r="C47" i="6" s="1"/>
  <c r="B51" i="5"/>
  <c r="C51" i="5" s="1"/>
  <c r="C46" i="3"/>
  <c r="C43" i="3"/>
  <c r="C43" i="2"/>
  <c r="B45" i="6"/>
  <c r="C42" i="6" s="1"/>
  <c r="B45" i="5"/>
  <c r="C45" i="5" s="1"/>
  <c r="C40" i="3"/>
  <c r="C40" i="2"/>
  <c r="B40" i="6"/>
  <c r="C37" i="6" s="1"/>
  <c r="B39" i="5"/>
  <c r="C39" i="5" s="1"/>
  <c r="D37" i="4"/>
  <c r="C37" i="3"/>
  <c r="B53" i="3"/>
  <c r="C37" i="2"/>
  <c r="K46" i="2"/>
  <c r="K43" i="2"/>
  <c r="K40" i="2"/>
  <c r="K37" i="2"/>
  <c r="J55" i="6"/>
  <c r="K52" i="6" s="1"/>
  <c r="J50" i="6"/>
  <c r="K47" i="6" s="1"/>
  <c r="J45" i="6"/>
  <c r="K42" i="6"/>
  <c r="J40" i="6"/>
  <c r="K37" i="6" s="1"/>
  <c r="J57" i="5"/>
  <c r="K57" i="5" s="1"/>
  <c r="J51" i="5"/>
  <c r="K51" i="5" s="1"/>
  <c r="J45" i="5"/>
  <c r="K45" i="5" s="1"/>
  <c r="J39" i="5"/>
  <c r="K39" i="5" s="1"/>
  <c r="L46" i="4"/>
  <c r="K43" i="4"/>
  <c r="L43" i="4" s="1"/>
  <c r="K40" i="4"/>
  <c r="L40" i="4" s="1"/>
  <c r="L37" i="4"/>
  <c r="K37" i="3"/>
  <c r="H55" i="6" l="1"/>
  <c r="I52" i="6" s="1"/>
  <c r="H57" i="5"/>
  <c r="I57" i="5" s="1"/>
  <c r="I46" i="4"/>
  <c r="J46" i="4" s="1"/>
  <c r="I46" i="3"/>
  <c r="I46" i="2"/>
  <c r="H50" i="6" l="1"/>
  <c r="I47" i="6" s="1"/>
  <c r="H51" i="5"/>
  <c r="I51" i="5" s="1"/>
  <c r="I43" i="4"/>
  <c r="J43" i="4" s="1"/>
  <c r="I37" i="4"/>
  <c r="G37" i="4"/>
  <c r="I43" i="3"/>
  <c r="I43" i="2"/>
  <c r="I40" i="2" l="1"/>
  <c r="H45" i="6" l="1"/>
  <c r="I42" i="6" s="1"/>
  <c r="H45" i="5"/>
  <c r="I45" i="5" s="1"/>
  <c r="I40" i="4"/>
  <c r="J40" i="4" s="1"/>
  <c r="I40" i="3"/>
  <c r="H40" i="6" l="1"/>
  <c r="I37" i="6"/>
  <c r="H39" i="5"/>
  <c r="I39" i="5" s="1"/>
  <c r="J37" i="4"/>
  <c r="I37" i="3"/>
  <c r="I37" i="2"/>
  <c r="F57" i="5" l="1"/>
  <c r="G57" i="5" s="1"/>
  <c r="G46" i="4"/>
  <c r="G46" i="2"/>
  <c r="G46" i="3"/>
  <c r="F51" i="5" l="1"/>
  <c r="G51" i="5"/>
  <c r="G43" i="3"/>
  <c r="G43" i="2"/>
  <c r="H46" i="4" l="1"/>
  <c r="G43" i="4"/>
  <c r="H43" i="4" s="1"/>
  <c r="G40" i="4"/>
  <c r="H40" i="4" s="1"/>
  <c r="H37" i="4"/>
  <c r="F55" i="6"/>
  <c r="G52" i="6" s="1"/>
  <c r="F50" i="6"/>
  <c r="G47" i="6"/>
  <c r="F45" i="6"/>
  <c r="G42" i="6" s="1"/>
  <c r="F40" i="6"/>
  <c r="G37" i="6"/>
  <c r="F39" i="5"/>
  <c r="G39" i="5" s="1"/>
  <c r="F45" i="5"/>
  <c r="G45" i="5" s="1"/>
  <c r="G40" i="3"/>
  <c r="G37" i="3"/>
  <c r="G40" i="2"/>
  <c r="G37" i="2" l="1"/>
  <c r="D55" i="6" l="1"/>
  <c r="E52" i="6" s="1"/>
  <c r="D57" i="5"/>
  <c r="E57" i="5" s="1"/>
  <c r="F46" i="4"/>
  <c r="E46" i="3"/>
  <c r="E46" i="2"/>
  <c r="D50" i="6" l="1"/>
  <c r="E47" i="6" s="1"/>
  <c r="D51" i="5"/>
  <c r="E51" i="5" s="1"/>
  <c r="F43" i="4"/>
  <c r="E43" i="3"/>
  <c r="E43" i="2"/>
  <c r="D45" i="5" l="1"/>
  <c r="E45" i="5" s="1"/>
  <c r="F40" i="4"/>
  <c r="E40" i="3"/>
  <c r="E40" i="2"/>
  <c r="D45" i="6" l="1"/>
  <c r="E42" i="6" s="1"/>
  <c r="F37" i="4" l="1"/>
  <c r="D40" i="6"/>
  <c r="E37" i="6" s="1"/>
  <c r="D39" i="5"/>
  <c r="E39" i="5" s="1"/>
  <c r="E37" i="3" l="1"/>
  <c r="E37" i="2"/>
  <c r="C26" i="6"/>
  <c r="E26" i="6"/>
  <c r="C25" i="5"/>
  <c r="E25" i="5"/>
  <c r="C26" i="4"/>
  <c r="F26" i="4"/>
  <c r="C27" i="3"/>
  <c r="E27" i="3"/>
  <c r="C27" i="2"/>
  <c r="E27" i="2"/>
  <c r="C26" i="1"/>
  <c r="E26" i="1"/>
</calcChain>
</file>

<file path=xl/comments1.xml><?xml version="1.0" encoding="utf-8"?>
<comments xmlns="http://schemas.openxmlformats.org/spreadsheetml/2006/main">
  <authors>
    <author>CRISTIAN DIAZ</author>
  </authors>
  <commentList>
    <comment ref="AJ27" authorId="0">
      <text>
        <r>
          <rPr>
            <b/>
            <sz val="8"/>
            <color indexed="81"/>
            <rFont val="Tahoma"/>
            <family val="2"/>
          </rPr>
          <t>CRISTIAN DIAZ:</t>
        </r>
        <r>
          <rPr>
            <sz val="8"/>
            <color indexed="81"/>
            <rFont val="Tahoma"/>
            <family val="2"/>
          </rPr>
          <t xml:space="preserve">
jul-sept 2022</t>
        </r>
      </text>
    </comment>
    <comment ref="AN27" authorId="0">
      <text>
        <r>
          <rPr>
            <b/>
            <sz val="8"/>
            <color indexed="81"/>
            <rFont val="Tahoma"/>
            <family val="2"/>
          </rPr>
          <t>CRISTIAN DIAZ:</t>
        </r>
        <r>
          <rPr>
            <sz val="8"/>
            <color indexed="81"/>
            <rFont val="Tahoma"/>
            <family val="2"/>
          </rPr>
          <t xml:space="preserve">
oc-dic 2021</t>
        </r>
      </text>
    </comment>
    <comment ref="AF63" authorId="0">
      <text>
        <r>
          <rPr>
            <b/>
            <sz val="8"/>
            <color indexed="81"/>
            <rFont val="Tahoma"/>
            <family val="2"/>
          </rPr>
          <t xml:space="preserve">CRISTIAN DIAZ:
ejercicio anterior mismo periodo
</t>
        </r>
      </text>
    </comment>
    <comment ref="AJ87" authorId="0">
      <text>
        <r>
          <rPr>
            <b/>
            <sz val="8"/>
            <color indexed="81"/>
            <rFont val="Tahoma"/>
            <family val="2"/>
          </rPr>
          <t>CRISTIAN DIAZ:</t>
        </r>
        <r>
          <rPr>
            <sz val="8"/>
            <color indexed="81"/>
            <rFont val="Tahoma"/>
            <family val="2"/>
          </rPr>
          <t xml:space="preserve">
demandas admitidas</t>
        </r>
      </text>
    </comment>
    <comment ref="AN87" authorId="0">
      <text>
        <r>
          <rPr>
            <b/>
            <sz val="8"/>
            <color indexed="81"/>
            <rFont val="Tahoma"/>
            <family val="2"/>
          </rPr>
          <t>CRISTIAN DIAZ:</t>
        </r>
        <r>
          <rPr>
            <sz val="8"/>
            <color indexed="81"/>
            <rFont val="Tahoma"/>
            <family val="2"/>
          </rPr>
          <t xml:space="preserve">
demandas admitidas</t>
        </r>
      </text>
    </comment>
    <comment ref="AF90" authorId="0">
      <text>
        <r>
          <rPr>
            <b/>
            <sz val="8"/>
            <color indexed="81"/>
            <rFont val="Tahoma"/>
            <family val="2"/>
          </rPr>
          <t xml:space="preserve">CRISTIAN DIAZ:
ejercicio anterior mismo periodo
</t>
        </r>
      </text>
    </comment>
    <comment ref="AF117" authorId="0">
      <text>
        <r>
          <rPr>
            <b/>
            <sz val="8"/>
            <color indexed="81"/>
            <rFont val="Tahoma"/>
            <family val="2"/>
          </rPr>
          <t xml:space="preserve">CRISTIAN DIAZ:
ejercicio anterior mismo periodo
</t>
        </r>
      </text>
    </comment>
    <comment ref="AF144" authorId="0">
      <text>
        <r>
          <rPr>
            <b/>
            <sz val="8"/>
            <color indexed="81"/>
            <rFont val="Tahoma"/>
            <family val="2"/>
          </rPr>
          <t>CRISTIAN DIAZ:</t>
        </r>
        <r>
          <rPr>
            <sz val="8"/>
            <color indexed="81"/>
            <rFont val="Tahoma"/>
            <family val="2"/>
          </rPr>
          <t xml:space="preserve">
ejercicio anterior mismo periodo
</t>
        </r>
      </text>
    </comment>
    <comment ref="AF168" authorId="0">
      <text>
        <r>
          <rPr>
            <b/>
            <sz val="8"/>
            <color indexed="81"/>
            <rFont val="Tahoma"/>
            <family val="2"/>
          </rPr>
          <t>CRISTIAN DIAZ:</t>
        </r>
        <r>
          <rPr>
            <sz val="8"/>
            <color indexed="81"/>
            <rFont val="Tahoma"/>
            <family val="2"/>
          </rPr>
          <t xml:space="preserve">
al agregar las admitidas presentadas mes anterior (547) excede por mucho las recibidas</t>
        </r>
      </text>
    </comment>
    <comment ref="AF171" authorId="0">
      <text>
        <r>
          <rPr>
            <b/>
            <sz val="8"/>
            <color indexed="81"/>
            <rFont val="Tahoma"/>
            <family val="2"/>
          </rPr>
          <t xml:space="preserve">CRISTIAN DIAZ:
ejercicio anterior mismo periodo
</t>
        </r>
      </text>
    </comment>
    <comment ref="AF174" authorId="0">
      <text>
        <r>
          <rPr>
            <b/>
            <sz val="8"/>
            <color indexed="81"/>
            <rFont val="Tahoma"/>
            <family val="2"/>
          </rPr>
          <t>CRISTIAN DIAZ:</t>
        </r>
        <r>
          <rPr>
            <sz val="8"/>
            <color indexed="81"/>
            <rFont val="Tahoma"/>
            <family val="2"/>
          </rPr>
          <t xml:space="preserve">
verificar dato con jdo 2do mercantil</t>
        </r>
      </text>
    </comment>
    <comment ref="AF219" authorId="0">
      <text>
        <r>
          <rPr>
            <b/>
            <sz val="8"/>
            <color indexed="81"/>
            <rFont val="Tahoma"/>
            <family val="2"/>
          </rPr>
          <t>CRISTIAN DIAZ:</t>
        </r>
        <r>
          <rPr>
            <sz val="8"/>
            <color indexed="81"/>
            <rFont val="Tahoma"/>
            <family val="2"/>
          </rPr>
          <t xml:space="preserve">
es penal oral
</t>
        </r>
      </text>
    </comment>
    <comment ref="AF239" authorId="0">
      <text>
        <r>
          <rPr>
            <b/>
            <sz val="8"/>
            <color indexed="81"/>
            <rFont val="Tahoma"/>
            <family val="2"/>
          </rPr>
          <t>CRISTIAN DIAZ:</t>
        </r>
        <r>
          <rPr>
            <sz val="8"/>
            <color indexed="81"/>
            <rFont val="Tahoma"/>
            <family val="2"/>
          </rPr>
          <t xml:space="preserve">
es penal oral
</t>
        </r>
      </text>
    </comment>
  </commentList>
</comments>
</file>

<file path=xl/comments2.xml><?xml version="1.0" encoding="utf-8"?>
<comments xmlns="http://schemas.openxmlformats.org/spreadsheetml/2006/main">
  <authors>
    <author>CRISTIAN DIAZ</author>
  </authors>
  <commentList>
    <comment ref="AD29" authorId="0">
      <text>
        <r>
          <rPr>
            <b/>
            <sz val="8"/>
            <color indexed="81"/>
            <rFont val="Tahoma"/>
            <family val="2"/>
          </rPr>
          <t>CRISTIAN DIAZ:</t>
        </r>
        <r>
          <rPr>
            <sz val="8"/>
            <color indexed="81"/>
            <rFont val="Tahoma"/>
            <family val="2"/>
          </rPr>
          <t xml:space="preserve">
Sentencias JO</t>
        </r>
      </text>
    </comment>
    <comment ref="AG29" authorId="0">
      <text>
        <r>
          <rPr>
            <b/>
            <sz val="8"/>
            <color indexed="81"/>
            <rFont val="Tahoma"/>
            <family val="2"/>
          </rPr>
          <t>CRISTIAN DIAZ:</t>
        </r>
        <r>
          <rPr>
            <sz val="8"/>
            <color indexed="81"/>
            <rFont val="Tahoma"/>
            <family val="2"/>
          </rPr>
          <t xml:space="preserve">
Sentencias JO</t>
        </r>
      </text>
    </comment>
    <comment ref="AD32" authorId="0">
      <text>
        <r>
          <rPr>
            <b/>
            <sz val="8"/>
            <color indexed="81"/>
            <rFont val="Tahoma"/>
            <family val="2"/>
          </rPr>
          <t>CRISTIAN DIAZ:</t>
        </r>
        <r>
          <rPr>
            <sz val="8"/>
            <color indexed="81"/>
            <rFont val="Tahoma"/>
            <family val="2"/>
          </rPr>
          <t xml:space="preserve">
Sentencias Abreviado
Trim 4 2022 (trim inmed anterior)</t>
        </r>
      </text>
    </comment>
    <comment ref="AG32" authorId="0">
      <text>
        <r>
          <rPr>
            <b/>
            <sz val="8"/>
            <color indexed="81"/>
            <rFont val="Tahoma"/>
            <family val="2"/>
          </rPr>
          <t>CRISTIAN DIAZ:</t>
        </r>
        <r>
          <rPr>
            <sz val="8"/>
            <color indexed="81"/>
            <rFont val="Tahoma"/>
            <family val="2"/>
          </rPr>
          <t xml:space="preserve">
Sentencias Abreviado
Trim 2 2023 (trim inmed anterior)</t>
        </r>
      </text>
    </comment>
    <comment ref="AD35" authorId="0">
      <text>
        <r>
          <rPr>
            <b/>
            <sz val="8"/>
            <color indexed="81"/>
            <rFont val="Tahoma"/>
            <family val="2"/>
          </rPr>
          <t>CRISTIAN DIAZ:</t>
        </r>
        <r>
          <rPr>
            <sz val="8"/>
            <color indexed="81"/>
            <rFont val="Tahoma"/>
            <family val="2"/>
          </rPr>
          <t xml:space="preserve">
Concluídas SC, Arep, Sobreseimientos
t4 2022 (knm ant)</t>
        </r>
      </text>
    </comment>
    <comment ref="AG35" authorId="0">
      <text>
        <r>
          <rPr>
            <b/>
            <sz val="8"/>
            <color indexed="81"/>
            <rFont val="Tahoma"/>
            <family val="2"/>
          </rPr>
          <t>CRISTIAN DIAZ:</t>
        </r>
        <r>
          <rPr>
            <sz val="8"/>
            <color indexed="81"/>
            <rFont val="Tahoma"/>
            <family val="2"/>
          </rPr>
          <t xml:space="preserve">
Concluídas SC, Arep, Sobreseimientos
t2 2023
</t>
        </r>
      </text>
    </comment>
  </commentList>
</comments>
</file>

<file path=xl/comments3.xml><?xml version="1.0" encoding="utf-8"?>
<comments xmlns="http://schemas.openxmlformats.org/spreadsheetml/2006/main">
  <authors>
    <author>C.P. Jesus Loyola Martínez</author>
  </authors>
  <commentList>
    <comment ref="AF20" authorId="0">
      <text>
        <r>
          <rPr>
            <b/>
            <sz val="9"/>
            <color indexed="81"/>
            <rFont val="Tahoma"/>
            <family val="2"/>
          </rPr>
          <t>C.P. Jesus Loyola Martínez:</t>
        </r>
        <r>
          <rPr>
            <sz val="9"/>
            <color indexed="81"/>
            <rFont val="Tahoma"/>
            <family val="2"/>
          </rPr>
          <t xml:space="preserve">
4 facilitadores, 1 gestor, y 1 Director en apoyo a la mediación
</t>
        </r>
      </text>
    </comment>
    <comment ref="AK20" authorId="0">
      <text>
        <r>
          <rPr>
            <b/>
            <sz val="9"/>
            <color indexed="81"/>
            <rFont val="Tahoma"/>
            <family val="2"/>
          </rPr>
          <t>C.P. Jesus Loyola Martínez:</t>
        </r>
        <r>
          <rPr>
            <sz val="9"/>
            <color indexed="81"/>
            <rFont val="Tahoma"/>
            <family val="2"/>
          </rPr>
          <t xml:space="preserve">
4 facilitadores, 1 gestor, y 1 Director en apoyo a la mediación
</t>
        </r>
      </text>
    </comment>
    <comment ref="AF21" authorId="0">
      <text>
        <r>
          <rPr>
            <b/>
            <sz val="9"/>
            <color indexed="81"/>
            <rFont val="Tahoma"/>
            <family val="2"/>
          </rPr>
          <t>C.P. Jesus Loyola Martínez:</t>
        </r>
        <r>
          <rPr>
            <sz val="9"/>
            <color indexed="81"/>
            <rFont val="Tahoma"/>
            <family val="2"/>
          </rPr>
          <t xml:space="preserve">
Libre Eleccion: 21 civil, 14 fam, 6 mercantil. Derivados 2 civil, 5 fam, 3 mercantil, 33 penal
</t>
        </r>
      </text>
    </comment>
    <comment ref="AK21" authorId="0">
      <text>
        <r>
          <rPr>
            <b/>
            <sz val="9"/>
            <color indexed="81"/>
            <rFont val="Tahoma"/>
            <family val="2"/>
          </rPr>
          <t>C.P. Jesus Loyola Martínez:</t>
        </r>
        <r>
          <rPr>
            <sz val="9"/>
            <color indexed="81"/>
            <rFont val="Tahoma"/>
            <family val="2"/>
          </rPr>
          <t xml:space="preserve">
Libre Eleccion: 21 civil, 14 fam, 6 mercantil. Derivados 2 civil, 5 fam, 3 mercantil, 33 penal
</t>
        </r>
      </text>
    </comment>
    <comment ref="AF24" authorId="0">
      <text>
        <r>
          <rPr>
            <b/>
            <sz val="9"/>
            <color indexed="81"/>
            <rFont val="Tahoma"/>
            <family val="2"/>
          </rPr>
          <t>C.P. Jesus Loyola Martínez:</t>
        </r>
        <r>
          <rPr>
            <sz val="9"/>
            <color indexed="81"/>
            <rFont val="Tahoma"/>
            <family val="2"/>
          </rPr>
          <t xml:space="preserve">
L.E: 7 civil, 11 fam, 5 mercantil. Derivados: 3 civil, 3 fam, 12 penal</t>
        </r>
      </text>
    </comment>
    <comment ref="AK24" authorId="0">
      <text>
        <r>
          <rPr>
            <b/>
            <sz val="9"/>
            <color indexed="81"/>
            <rFont val="Tahoma"/>
            <family val="2"/>
          </rPr>
          <t>C.P. Jesus Loyola Martínez:</t>
        </r>
        <r>
          <rPr>
            <sz val="9"/>
            <color indexed="81"/>
            <rFont val="Tahoma"/>
            <family val="2"/>
          </rPr>
          <t xml:space="preserve">
L.E: 7 civil, 11 fam, 5 mercantil. Derivados: 3 civil, 3 fam, 12 penal</t>
        </r>
      </text>
    </comment>
    <comment ref="AF33" authorId="0">
      <text>
        <r>
          <rPr>
            <b/>
            <sz val="9"/>
            <color indexed="81"/>
            <rFont val="Tahoma"/>
            <family val="2"/>
          </rPr>
          <t>C.P. Jesus Loyola Martínez:</t>
        </r>
        <r>
          <rPr>
            <sz val="9"/>
            <color indexed="81"/>
            <rFont val="Tahoma"/>
            <family val="2"/>
          </rPr>
          <t xml:space="preserve">
602 presencial, 486 x otros medios
</t>
        </r>
      </text>
    </comment>
    <comment ref="AK33" authorId="0">
      <text>
        <r>
          <rPr>
            <b/>
            <sz val="9"/>
            <color indexed="81"/>
            <rFont val="Tahoma"/>
            <family val="2"/>
          </rPr>
          <t>C.P. Jesus Loyola Martínez:</t>
        </r>
        <r>
          <rPr>
            <sz val="9"/>
            <color indexed="81"/>
            <rFont val="Tahoma"/>
            <family val="2"/>
          </rPr>
          <t xml:space="preserve">
602 presencial, 486 x otros medios
</t>
        </r>
      </text>
    </comment>
    <comment ref="AR33" authorId="0">
      <text>
        <r>
          <rPr>
            <b/>
            <sz val="9"/>
            <color indexed="81"/>
            <rFont val="Tahoma"/>
            <family val="2"/>
          </rPr>
          <t>C.P. Jesus Loyola Martínez:</t>
        </r>
        <r>
          <rPr>
            <sz val="9"/>
            <color indexed="81"/>
            <rFont val="Tahoma"/>
            <family val="2"/>
          </rPr>
          <t xml:space="preserve">
20 DIAS OCT, 20 NOV Y 12 DIC
</t>
        </r>
      </text>
    </comment>
    <comment ref="AF36" authorId="0">
      <text>
        <r>
          <rPr>
            <b/>
            <sz val="9"/>
            <color indexed="81"/>
            <rFont val="Tahoma"/>
            <family val="2"/>
          </rPr>
          <t>C.P. Jesus Loyola Martínez:</t>
        </r>
        <r>
          <rPr>
            <sz val="9"/>
            <color indexed="81"/>
            <rFont val="Tahoma"/>
            <family val="2"/>
          </rPr>
          <t xml:space="preserve">
65 físicas, 239 x medios electrónicos
</t>
        </r>
      </text>
    </comment>
    <comment ref="AK36" authorId="0">
      <text>
        <r>
          <rPr>
            <b/>
            <sz val="9"/>
            <color indexed="81"/>
            <rFont val="Tahoma"/>
            <family val="2"/>
          </rPr>
          <t>C.P. Jesus Loyola Martínez:</t>
        </r>
        <r>
          <rPr>
            <sz val="9"/>
            <color indexed="81"/>
            <rFont val="Tahoma"/>
            <family val="2"/>
          </rPr>
          <t xml:space="preserve">
65 físicas, 239 x medios electrónicos
</t>
        </r>
      </text>
    </comment>
    <comment ref="AF39" authorId="0">
      <text>
        <r>
          <rPr>
            <b/>
            <sz val="9"/>
            <color indexed="81"/>
            <rFont val="Tahoma"/>
            <family val="2"/>
          </rPr>
          <t>C.P. Jesus Loyola Martínez:</t>
        </r>
        <r>
          <rPr>
            <sz val="9"/>
            <color indexed="81"/>
            <rFont val="Tahoma"/>
            <family val="2"/>
          </rPr>
          <t xml:space="preserve">
Sesion indivicual 174, conjunta 177; Física 338, electrónica 13.
</t>
        </r>
      </text>
    </comment>
    <comment ref="AK39" authorId="0">
      <text>
        <r>
          <rPr>
            <b/>
            <sz val="9"/>
            <color indexed="81"/>
            <rFont val="Tahoma"/>
            <family val="2"/>
          </rPr>
          <t>C.P. Jesus Loyola Martínez:</t>
        </r>
        <r>
          <rPr>
            <sz val="9"/>
            <color indexed="81"/>
            <rFont val="Tahoma"/>
            <family val="2"/>
          </rPr>
          <t xml:space="preserve">
Sesion indivicual 174, conjunta 177; Física 338, electrónica 13.
</t>
        </r>
      </text>
    </comment>
    <comment ref="AF42" authorId="0">
      <text>
        <r>
          <rPr>
            <b/>
            <sz val="9"/>
            <color indexed="81"/>
            <rFont val="Tahoma"/>
            <family val="2"/>
          </rPr>
          <t>C.P. Jesus Loyola Martínez:</t>
        </r>
        <r>
          <rPr>
            <sz val="9"/>
            <color indexed="81"/>
            <rFont val="Tahoma"/>
            <family val="2"/>
          </rPr>
          <t xml:space="preserve">
L.E: 1 civil, 10 fam, 1 mercantil. Derivados: 3 fam, 9 penal
</t>
        </r>
      </text>
    </comment>
    <comment ref="AK42" authorId="0">
      <text>
        <r>
          <rPr>
            <b/>
            <sz val="9"/>
            <color indexed="81"/>
            <rFont val="Tahoma"/>
            <family val="2"/>
          </rPr>
          <t>C.P. Jesus Loyola Martínez:</t>
        </r>
        <r>
          <rPr>
            <sz val="9"/>
            <color indexed="81"/>
            <rFont val="Tahoma"/>
            <family val="2"/>
          </rPr>
          <t xml:space="preserve">
L.E: 1 civil, 10 fam, 1 mercantil. Derivados: 3 fam, 9 penal
</t>
        </r>
      </text>
    </comment>
  </commentList>
</comments>
</file>

<file path=xl/sharedStrings.xml><?xml version="1.0" encoding="utf-8"?>
<sst xmlns="http://schemas.openxmlformats.org/spreadsheetml/2006/main" count="1897" uniqueCount="629">
  <si>
    <t>MATRIZ DE INDICADORES PARA RESULTADOS</t>
  </si>
  <si>
    <t>FICHA TECNICA DE INDICADOR</t>
  </si>
  <si>
    <t>Nombre</t>
  </si>
  <si>
    <t>Nivel</t>
  </si>
  <si>
    <t>Actividad</t>
  </si>
  <si>
    <t>Programa</t>
  </si>
  <si>
    <t>Objetivo</t>
  </si>
  <si>
    <t>Tipo de Indicador</t>
  </si>
  <si>
    <t>Gestión</t>
  </si>
  <si>
    <t>Dimensión</t>
  </si>
  <si>
    <t>Eficacia</t>
  </si>
  <si>
    <t>Sentido</t>
  </si>
  <si>
    <t>Ascendente</t>
  </si>
  <si>
    <t>Definición</t>
  </si>
  <si>
    <t>Metas programadas</t>
  </si>
  <si>
    <t>1º. Trimestre</t>
  </si>
  <si>
    <t>2º. Trimestre</t>
  </si>
  <si>
    <t>3º. Trimestre</t>
  </si>
  <si>
    <t>4º. Trimestre</t>
  </si>
  <si>
    <t>Anual</t>
  </si>
  <si>
    <t>Línea base 2016</t>
  </si>
  <si>
    <t>Línea base 2015</t>
  </si>
  <si>
    <t>Frecuencia de medición</t>
  </si>
  <si>
    <t>Trimestral</t>
  </si>
  <si>
    <t>Unidad de medida</t>
  </si>
  <si>
    <t>Porcentaje</t>
  </si>
  <si>
    <t>Tipo de valor de la meta</t>
  </si>
  <si>
    <t>Relativo</t>
  </si>
  <si>
    <t>Formula</t>
  </si>
  <si>
    <t>(A/B)*100</t>
  </si>
  <si>
    <t>Descripción de la fórmula:</t>
  </si>
  <si>
    <t>Variable A</t>
  </si>
  <si>
    <t>Medio de verificación</t>
  </si>
  <si>
    <t>Variable B</t>
  </si>
  <si>
    <t>Parámetros de Semaforización</t>
  </si>
  <si>
    <t>Verde</t>
  </si>
  <si>
    <t>Amarillo</t>
  </si>
  <si>
    <t>Rojo</t>
  </si>
  <si>
    <t>&gt;+-20%</t>
  </si>
  <si>
    <t>Datos de control</t>
  </si>
  <si>
    <t>Fuente:</t>
  </si>
  <si>
    <t>Fecha de elaboración</t>
  </si>
  <si>
    <t>Responsable</t>
  </si>
  <si>
    <t>Fecha de actualización</t>
  </si>
  <si>
    <t>Metas logradas</t>
  </si>
  <si>
    <t>Rendición de Cuentas</t>
  </si>
  <si>
    <t>Transparencia y Rendición de Cuentas</t>
  </si>
  <si>
    <t>Transparentar e informar sobre el ejercicio y destino de los recursos públicos y el estado que guarda la hacienda pública de la institución</t>
  </si>
  <si>
    <t>Cociente de numero de cuentas públicas presentadas entre el número de cuentas públicas que por ley existe obligación de presentar por 100</t>
  </si>
  <si>
    <t>Cuentas Públicas presentadas</t>
  </si>
  <si>
    <t>Cuenta  Pública</t>
  </si>
  <si>
    <t>Informe Cuenta  Pública</t>
  </si>
  <si>
    <t>Cuentas Públicas exigibles</t>
  </si>
  <si>
    <t>Informe Cuenta Pública</t>
  </si>
  <si>
    <t>Dirección General de Administración</t>
  </si>
  <si>
    <t>Índice de recaudación</t>
  </si>
  <si>
    <t>Presupuesto de Ingresos del Tribunal Superior de Justicia</t>
  </si>
  <si>
    <t>Consecución y recaudación de los ingresos programados</t>
  </si>
  <si>
    <t>Avance en la recaudación</t>
  </si>
  <si>
    <t>Cociente Ingresos recaudados entre Ingresos programados por 100</t>
  </si>
  <si>
    <t>Ingresos Recaudados</t>
  </si>
  <si>
    <t>Pesos</t>
  </si>
  <si>
    <t>Ingresos Programados</t>
  </si>
  <si>
    <t>Ejercicio del Presupuesto de Egresos</t>
  </si>
  <si>
    <t>Presupuesto de Egresos del Tribunal Superior de Justicia</t>
  </si>
  <si>
    <t>Adecuada administración de los recursos financieros  humanos  materiales y técnicos</t>
  </si>
  <si>
    <t>Cociente Egresos devengados entre Egresos programados por 100</t>
  </si>
  <si>
    <t>Egresos Devengados</t>
  </si>
  <si>
    <t>Egresos Programados</t>
  </si>
  <si>
    <t>Proporción de Gasto Programable</t>
  </si>
  <si>
    <t>Economía</t>
  </si>
  <si>
    <t>Muestra la razón porcentual que guardan el total de gasto programable entre el total del presupuesto de egresos</t>
  </si>
  <si>
    <t>porcentual</t>
  </si>
  <si>
    <t>Total de gasto programable / Total de Egresos * 100</t>
  </si>
  <si>
    <t>Total de gasto programable</t>
  </si>
  <si>
    <t>pesos</t>
  </si>
  <si>
    <t>Total presupuesto de egresos</t>
  </si>
  <si>
    <t>Informe de Cuenta Pública</t>
  </si>
  <si>
    <t>Proporción de Gasto de Operación</t>
  </si>
  <si>
    <t>Descendente</t>
  </si>
  <si>
    <t>Muestra la razón porcentual que guardan el total de gasto de operación entre el total del presupuesto de egresos</t>
  </si>
  <si>
    <t>Total de Gasto de Operación / Total de Egresos * 100</t>
  </si>
  <si>
    <t>Total de gasto de operación</t>
  </si>
  <si>
    <t>Proporción de Servicios Personales</t>
  </si>
  <si>
    <t>Muestra la razón porcentual que guardan el total de gasto en servicios personales entre el total de gasto de operación</t>
  </si>
  <si>
    <t>Total de Gasto e Servicios Personales / Total de Gasto de Operación * 100</t>
  </si>
  <si>
    <t>Total de gasto en servicios personales</t>
  </si>
  <si>
    <t>Ing. Recaudados</t>
  </si>
  <si>
    <t>Ing. Totales Programados</t>
  </si>
  <si>
    <t>Egresos devengados</t>
  </si>
  <si>
    <t>Egresos Totales Programados</t>
  </si>
  <si>
    <t>Gasto de operación: Gasto corriente integrado por Servicios Personales, Materiales y Suministos, y Servicios Generales</t>
  </si>
  <si>
    <t>Servicios Personales</t>
  </si>
  <si>
    <t>Materiales y Suministos</t>
  </si>
  <si>
    <t>Servicios Generales</t>
  </si>
  <si>
    <t>Suma Gasto de operación</t>
  </si>
  <si>
    <t>Presupuesto de Egresos Total</t>
  </si>
  <si>
    <t>Gasto Programable</t>
  </si>
  <si>
    <t>Total de Presupuesto de Egresos</t>
  </si>
  <si>
    <t xml:space="preserve">Cumplimiento en la presentación de la información financiera y presupuestal </t>
  </si>
  <si>
    <t>Avance en el ejercicio y aplicación del Presupuesto de Egresos</t>
  </si>
  <si>
    <t>Determinar y verificar la participación del gasto de operación con respecto al total de egresos</t>
  </si>
  <si>
    <t>Determinar y verificar la participación del gasto programable con respecto al total de egresos</t>
  </si>
  <si>
    <t>Determinar y verificar la participación de los servicios personales con respecto al total de gastos de operación</t>
  </si>
  <si>
    <t>Línea base 2017</t>
  </si>
  <si>
    <t>Línea base 2018</t>
  </si>
  <si>
    <t>Gasto Programable:</t>
  </si>
  <si>
    <t>El gasto programable es aquel que usa el gobierno para proveer bienes y servicios a la población, así como el gasto en programas sociales y todo aquello necesario para la operación de las instituciones gubernamentales.</t>
  </si>
  <si>
    <t>Para el caso de TSJ, el gasto programable se conforma del capitulo 1000, 2000, 3000, 5000 y 6000</t>
  </si>
  <si>
    <t>Criterio a partir de 2019</t>
  </si>
  <si>
    <t>Se considera no programable el presupuesto destinado a la obligación de pago a jubilados  (capitulo 4000) y ADEFAS (capitulo 9000)</t>
  </si>
  <si>
    <t>Línea base 2019</t>
  </si>
  <si>
    <t>Línea base 2019*</t>
  </si>
  <si>
    <r>
      <t>*</t>
    </r>
    <r>
      <rPr>
        <u/>
        <sz val="10"/>
        <color theme="1"/>
        <rFont val="Arial Narrow"/>
        <family val="2"/>
      </rPr>
      <t xml:space="preserve"> Criterio a partir de 2019</t>
    </r>
    <r>
      <rPr>
        <sz val="10"/>
        <color theme="1"/>
        <rFont val="Arial Narrow"/>
        <family val="2"/>
      </rPr>
      <t xml:space="preserve">: </t>
    </r>
    <r>
      <rPr>
        <b/>
        <sz val="10"/>
        <color theme="1"/>
        <rFont val="Arial Narrow"/>
        <family val="2"/>
      </rPr>
      <t>Gasto programable</t>
    </r>
    <r>
      <rPr>
        <sz val="10"/>
        <color theme="1"/>
        <rFont val="Arial Narrow"/>
        <family val="2"/>
      </rPr>
      <t>.- es aquél que usa el gobierno para proveer bienes y servicios a la población, así como el gasto en programas sociales y todo aquello necesario para la operación de las instituciones gubernamentales. Para el caso del TSJ, el gasto programable se conforma del capitulo 1000, 2000, 3000, 5000 y 6000. Se considera</t>
    </r>
    <r>
      <rPr>
        <b/>
        <sz val="10"/>
        <color theme="1"/>
        <rFont val="Arial Narrow"/>
        <family val="2"/>
      </rPr>
      <t xml:space="preserve"> no programable</t>
    </r>
    <r>
      <rPr>
        <sz val="10"/>
        <color theme="1"/>
        <rFont val="Arial Narrow"/>
        <family val="2"/>
      </rPr>
      <t xml:space="preserve"> el presupuesto destinado a la obligación de pago a jubilados  (capitulo 4000) y ADEFAS (capitulo 9000)</t>
    </r>
  </si>
  <si>
    <t>2 trim 2018</t>
  </si>
  <si>
    <t>3 trim 2018</t>
  </si>
  <si>
    <t>Avance 2023</t>
  </si>
  <si>
    <t>H. TRIBUNAL SUPERIOR DEL ESTADO DE MORELOS</t>
  </si>
  <si>
    <t>INFORME AL TERCER TRIMESTRE 2023.</t>
  </si>
  <si>
    <t xml:space="preserve">                         MATRIZ DE INDICADORES PARA RESULTADOS</t>
  </si>
  <si>
    <t xml:space="preserve">                    FICHA TECNICA DE INDICADOR</t>
  </si>
  <si>
    <t>H. TRIBUNAL SUPERIOR DE JUDICIAL DEL ESTADO DE MORELOS</t>
  </si>
  <si>
    <t>INFORME AL TERCER TRIMESTRE 2023</t>
  </si>
  <si>
    <t xml:space="preserve">                                       MATRIZ DE INDICADORES DE RESULTADOS</t>
  </si>
  <si>
    <t xml:space="preserve">Programa presupuestario:   </t>
  </si>
  <si>
    <t>TSJ - Programa de Administración e imparticion de Justicia 2023</t>
  </si>
  <si>
    <t xml:space="preserve">Ramo:   </t>
  </si>
  <si>
    <t>28 Participaciones a Entidades Federativas y Municipios</t>
  </si>
  <si>
    <t xml:space="preserve">Dependencia o entidad:  </t>
  </si>
  <si>
    <t>Poder Judicial del Estado de Morelos</t>
  </si>
  <si>
    <t xml:space="preserve">Unidades Responsables:  </t>
  </si>
  <si>
    <t xml:space="preserve">Juzgados de primera instancia en materia civil, familiar, mercantil y penal, Salas de Magistrados </t>
  </si>
  <si>
    <t>ALINEACION</t>
  </si>
  <si>
    <t>Plan Nacional de Desarrollo 2019-2024</t>
  </si>
  <si>
    <t>Plan Estatal de Desarrollo 2019-2024</t>
  </si>
  <si>
    <t>Programa Institucional</t>
  </si>
  <si>
    <t>Ejes transversales</t>
  </si>
  <si>
    <t>Eje estratégico</t>
  </si>
  <si>
    <t>1. Política y gobierno</t>
  </si>
  <si>
    <t>1.  Paz y seguridad para los morelenses</t>
  </si>
  <si>
    <t>JT - Administración e imparticion de Justicia Sistema Tradicional 2023</t>
  </si>
  <si>
    <t>Cero corrupción e impunidad</t>
  </si>
  <si>
    <t>Estrategia</t>
  </si>
  <si>
    <t>Cambio de paradigma en seguridad</t>
  </si>
  <si>
    <t>Procuración de Justicia</t>
  </si>
  <si>
    <t xml:space="preserve">Impartición de justicia de conformidad con lo dispuesto en los artículos 20 y 86 de la Constitución Política del Estado Libre y Soberano de Morelos. </t>
  </si>
  <si>
    <t>1. Erradicar la corrupción y reactivar la procuración de justicia</t>
  </si>
  <si>
    <t>1.5 Garantizar, promover y proteger los derechos de las víctimas del delito y de violaciones a los derechos humanos considerados como graves por las legislaciones aplicables</t>
  </si>
  <si>
    <t>Meta</t>
  </si>
  <si>
    <t>Asegurar el acceso en condiciones de igualdad a todos los justiciable a un sistema de justicia que garantice plenamente la protección y seguridad jurídica, así como el debido proceso, haciendo valer los derechos humanos fundamentales, la igualdad de género y las garantías individuales de los particulares consagrados en la Carta Magna y la Constitución local del Estado como una obligación por parte de las instituciones públicas</t>
  </si>
  <si>
    <t>Transparencia y rendición de cuentas</t>
  </si>
  <si>
    <t>1971520
CENSO 2020</t>
  </si>
  <si>
    <t>pob proyección 2022</t>
  </si>
  <si>
    <t>Clasificación funcional</t>
  </si>
  <si>
    <t>Actividad institucional</t>
  </si>
  <si>
    <t>Finalidad</t>
  </si>
  <si>
    <t>1. Gobierno</t>
  </si>
  <si>
    <t>Función</t>
  </si>
  <si>
    <t>1.2 Justicia</t>
  </si>
  <si>
    <t>Subfunción</t>
  </si>
  <si>
    <t>1.2.1 Impartición de justicia</t>
  </si>
  <si>
    <t>1.2.1.1</t>
  </si>
  <si>
    <t>Impartición de justicia</t>
  </si>
  <si>
    <t>1.2.1.2</t>
  </si>
  <si>
    <t>Administración de justicia</t>
  </si>
  <si>
    <t>Indicadores</t>
  </si>
  <si>
    <t>Linea base</t>
  </si>
  <si>
    <t>Meta anual 2023</t>
  </si>
  <si>
    <t>Avance acumulado</t>
  </si>
  <si>
    <t>Semaforización</t>
  </si>
  <si>
    <t>Nacional</t>
  </si>
  <si>
    <t>Internacional</t>
  </si>
  <si>
    <t>Nombre del indicador</t>
  </si>
  <si>
    <t>Definición del indicador</t>
  </si>
  <si>
    <t>Método de cálculo</t>
  </si>
  <si>
    <t>Unidad de medidad</t>
  </si>
  <si>
    <t>Tipo</t>
  </si>
  <si>
    <t>Periodicidad</t>
  </si>
  <si>
    <t>3º TRIMESTRE</t>
  </si>
  <si>
    <t>= +/- 10%</t>
  </si>
  <si>
    <t>Año</t>
  </si>
  <si>
    <t>Valor</t>
  </si>
  <si>
    <t>1º Trim</t>
  </si>
  <si>
    <t>2º Trim</t>
  </si>
  <si>
    <t>3º Trim</t>
  </si>
  <si>
    <t>4º Trim</t>
  </si>
  <si>
    <t>Absoluto</t>
  </si>
  <si>
    <t>= +/- 20%</t>
  </si>
  <si>
    <t>1º Trim 2023</t>
  </si>
  <si>
    <t>2º Trim 2023</t>
  </si>
  <si>
    <t>3º Trim 2023</t>
  </si>
  <si>
    <t>4º Trim 2023</t>
  </si>
  <si>
    <t>Demarcaciones</t>
  </si>
  <si>
    <t>&gt; +/- 20%</t>
  </si>
  <si>
    <t>1 Cuernavaca</t>
  </si>
  <si>
    <t>2 Pte Ixtla</t>
  </si>
  <si>
    <t>3 Cuautla</t>
  </si>
  <si>
    <t>4 Jiutepec</t>
  </si>
  <si>
    <t>Penal Unico</t>
  </si>
  <si>
    <t>Oral Penal</t>
  </si>
  <si>
    <t>Oral Mercatil</t>
  </si>
  <si>
    <t>Laboral</t>
  </si>
  <si>
    <t>Magistrados</t>
  </si>
  <si>
    <t>Fin</t>
  </si>
  <si>
    <t>Contribuir a la seguridad y paz social mediante la cobertura de servicios de impartición de justicia y solución de conflictos por medios alternativos</t>
  </si>
  <si>
    <t>Cobertura general de servicios de impartición de justicia en el estado de Morelos</t>
  </si>
  <si>
    <t>Expresa la proporcion del total de juzgadores por cada 100,000 habitantes</t>
  </si>
  <si>
    <t xml:space="preserve">Numero total de jueces y juezas / población del Estado de Morelos /100,000 </t>
  </si>
  <si>
    <t>Razón</t>
  </si>
  <si>
    <t>Estratégico</t>
  </si>
  <si>
    <t>Cobertura  de servicios de impartición de justicia bajo el Sistema de Justicia Tradicional en el Estado de Morelos</t>
  </si>
  <si>
    <t>Expresa la proporcion de juzgadores del Sistema de Justicia Tradicional por cada 100,000 habitantes</t>
  </si>
  <si>
    <t xml:space="preserve">Numero de jueces y juezas del Sistema de Justicia Tradicional / población del Estado de Morelos /100,000 </t>
  </si>
  <si>
    <t>Cobertura</t>
  </si>
  <si>
    <t>Propósito</t>
  </si>
  <si>
    <t>Los justiciables acceden a un sistema de justicia expedita, imparcial y gratuita</t>
  </si>
  <si>
    <t>Indice medio de resolución de conflictos</t>
  </si>
  <si>
    <t>Refleja el grado de resolución de los casos admitidos en las distintas unidades jurisdiccionales de primera y segunda instancia</t>
  </si>
  <si>
    <t>(Suma de resoluciones definitivas emitidas en 1a y 2a instancias + conclusión por medios alternos / Suma de demandas admitidas en 1a y 2a instancias) * 100</t>
  </si>
  <si>
    <t>Avance  2023 Valor absoluto</t>
  </si>
  <si>
    <t>Avance 2023 Valor relativo</t>
  </si>
  <si>
    <t>SALAS 2A INSTANCIA</t>
  </si>
  <si>
    <r>
      <t xml:space="preserve">Componente 1 </t>
    </r>
    <r>
      <rPr>
        <b/>
        <i/>
        <sz val="9"/>
        <color theme="1"/>
        <rFont val="Calibri"/>
        <family val="2"/>
        <scheme val="minor"/>
      </rPr>
      <t>Gestión Segunda Instancia</t>
    </r>
  </si>
  <si>
    <t>Asuntos promovidos por los justiciables en Segunda Instancia atendidos y resueltos</t>
  </si>
  <si>
    <t>Porcentaje de sentencias definitivas  respecto de los asuntos iniciados en segunda instancia</t>
  </si>
  <si>
    <t xml:space="preserve">Expresa el grado de atención y resolución de los casos recibidos en las distintas Salas de Segunda Instancia </t>
  </si>
  <si>
    <t>(Sentencias definitivas/ asuntos iniciados) * 100</t>
  </si>
  <si>
    <t>Variación porcentual de las sentencias definitivas emitidas en segunda instancia</t>
  </si>
  <si>
    <t>Mide la variacion porcentual de las resoluciones definitivas en segunda instancia respecto al año inmediato anterior</t>
  </si>
  <si>
    <t>((Sentencias definitivas emitidas en segunda instancia/ Sentencias definitivas en segunda instancia emitidas en el mismo periodo del ejercicio inmediato anterior)-1)*100</t>
  </si>
  <si>
    <t>Porcentaje de demandas de amparo en segunda instancia resueltas</t>
  </si>
  <si>
    <t>Expresa el grado de atención y resolución de las demandas de amparo directo por las Salas de Segunda Instancia del Tribunal Superior de Justicia</t>
  </si>
  <si>
    <t>((Amparos concedidos+ amparos denegados+amparos sobreseidos)/demandas de amparo directo recibidas)*100</t>
  </si>
  <si>
    <t>Actividad 1.1</t>
  </si>
  <si>
    <t>Realización de audiencias</t>
  </si>
  <si>
    <t>Porcentaje de audiencias realizadas</t>
  </si>
  <si>
    <t>Mide la proporción de audiencias realizadas respecto a la cantidad de asuntos iniciados</t>
  </si>
  <si>
    <t>(Audiencias realizadas/ asuntos iniciados)*100</t>
  </si>
  <si>
    <t>Actividad 1.2</t>
  </si>
  <si>
    <t>Ejecución de notificaciones</t>
  </si>
  <si>
    <t>Porcentaje de notificaciones realizadas</t>
  </si>
  <si>
    <t>Mide la proporción de notificaciones realizadas respecto a la cantidad de asuntos iniciados</t>
  </si>
  <si>
    <t>(Notificaciones realizadas / asuntos iniciados)*100</t>
  </si>
  <si>
    <t>Actividad 1.3</t>
  </si>
  <si>
    <t>Celebración de plenos</t>
  </si>
  <si>
    <t xml:space="preserve">Porcentaje de sentencias definitivas </t>
  </si>
  <si>
    <t>Mide la proporción de sentencias definitivas respecto de plenos celebrados</t>
  </si>
  <si>
    <t>(Sentencias definitivas/ Plenos celebrados)*100</t>
  </si>
  <si>
    <t>Porcentaje de plenos celebrados</t>
  </si>
  <si>
    <t>Mide la proporción de plenos celebrados respecto a la cantidad de asuntos iniciados</t>
  </si>
  <si>
    <t>(Plenos celebrados/ asuntos iniciados)*100</t>
  </si>
  <si>
    <t>Actividad 1.4</t>
  </si>
  <si>
    <t>Gestión de amparos directos</t>
  </si>
  <si>
    <t>Porcentaje de amparos directos sobreseidos</t>
  </si>
  <si>
    <t>Mide la proporción de amparos directos sobreseidos</t>
  </si>
  <si>
    <t>(Amparos directos sobreseidos/demandas de amparo radicadas) * 100</t>
  </si>
  <si>
    <t>Porcentaje de amparos directos concedidos</t>
  </si>
  <si>
    <t>Mide la proporción de amparos directos concedidos</t>
  </si>
  <si>
    <t>(Amparos directos concedidos/demandas de amparo radicadas) * 100</t>
  </si>
  <si>
    <t>Porcentaje de amparos directos denegados</t>
  </si>
  <si>
    <t>Mide la proporcion de amparos directos denegados</t>
  </si>
  <si>
    <t>(Amparos directos denegados/demandas de amparo radicadas) * 100</t>
  </si>
  <si>
    <t>Porcentaje de demandas radicadas</t>
  </si>
  <si>
    <t>Mide la proporción de demandas radicadas respecto de las demandas de amparo directo recibidas</t>
  </si>
  <si>
    <t>(Demandas radicadas/ Demandas de amparo directo recibidas)*100</t>
  </si>
  <si>
    <t>Actividad 1.5</t>
  </si>
  <si>
    <t>Recepción de apelaciones</t>
  </si>
  <si>
    <t>Porcentaje de apelaciones recibidas</t>
  </si>
  <si>
    <t>Mide la proporción de apelaciones recibidas respecto a la cantidad de asuntos iniciados</t>
  </si>
  <si>
    <t>(Apelaciones recibidas/ asuntos iniciados)*100</t>
  </si>
  <si>
    <t>JUZGADOS MATERIA CIVIL 1A INSTANCIA</t>
  </si>
  <si>
    <r>
      <t xml:space="preserve">Componente 2 </t>
    </r>
    <r>
      <rPr>
        <b/>
        <i/>
        <sz val="9"/>
        <color theme="1"/>
        <rFont val="Calibri"/>
        <family val="2"/>
        <scheme val="minor"/>
      </rPr>
      <t>Gestion Materia Civil Primera Instancia</t>
    </r>
  </si>
  <si>
    <t>Asuntos en materia civil ingresados por los justiciables en Primera Instancia atendidos y resueltos</t>
  </si>
  <si>
    <t>Porcentaje de sentencias definitivas  respecto de las demandas admitidas en materia civil primera instancia</t>
  </si>
  <si>
    <t xml:space="preserve">Expresa el grado de atención y resolución de las demandas admitidas en los distintos Juzgados en materia Civil de Primera Instancia </t>
  </si>
  <si>
    <t>(Sentencias definitivas en materia civil primera instancia/ demandas admitidas) * 100</t>
  </si>
  <si>
    <t>Variación porcentual de las sentencias definitivas en materia civil emitidas en primera instancia</t>
  </si>
  <si>
    <t>Mide la variacion porcentual de las sentencias definitivas en materia civil en primera instancia respecto al año inmediato anterior</t>
  </si>
  <si>
    <t>((Sentencias definitivas emitidas en materia civil en primera instancia/ Sentencias definitivas en materia civil en primera instancia emitidas en el mismo periodo del ejercicio inmediato anterior)-1)*100</t>
  </si>
  <si>
    <t>Porcentaje de amparos en materia civil primera instancia resueltos</t>
  </si>
  <si>
    <t>Expresa el grado de atención y resolución de amparos en materia civil primera instancia del Tribunal Superior de Justicia</t>
  </si>
  <si>
    <t>((Aamparos concedidos+ amparos denegados+amparos sobreseidos)/Amparos recibidos en materia civil primera instancia)*100</t>
  </si>
  <si>
    <t>Actividad 2.1</t>
  </si>
  <si>
    <t>Admisión de demandas en materia civil primera instancia</t>
  </si>
  <si>
    <t>Porcentaje de demandas en materia civil primera instancia admitidas</t>
  </si>
  <si>
    <t>Mide la proporción de demandas admitidas respecto a la cantidad de demandas presentadas en materia civil primera instancia</t>
  </si>
  <si>
    <t>(Demandas admitidas/ demandas presentadas en materia civil primera instancia)*100</t>
  </si>
  <si>
    <t>Actividad 2.2</t>
  </si>
  <si>
    <t>Ejecución de notificaciones materia civil primera instancia</t>
  </si>
  <si>
    <t>Porcentaje de notificaciones en materia civil primera instancia realizadas</t>
  </si>
  <si>
    <t>Mide la proporción de notificaciones realizadas respecto a la cantidad de demandas admitidas en materia civil primera instancia</t>
  </si>
  <si>
    <t>(Notificaciones realizadas / demandas admitidas en materia civil primera instancia)*100</t>
  </si>
  <si>
    <t>Actividad 2.3</t>
  </si>
  <si>
    <t>Realización de comparecencias en materia civil primera instancia</t>
  </si>
  <si>
    <t>Porcentaje de comparecencias en materia civil primera instancia realizadas</t>
  </si>
  <si>
    <t>Mide la proporción de comparecencias realizadas respecto a la cantidad de demandas admitidas en materia civil primera instancia</t>
  </si>
  <si>
    <t>(Comparecencias realizadas/ demandas admitidas en matericia civil primera instancia)*100</t>
  </si>
  <si>
    <t>Actividad 2.4</t>
  </si>
  <si>
    <t>Gestión de amparos en materia civil primera instancia</t>
  </si>
  <si>
    <t>Porcentaje de amparos sobreseidos en materia civil primera instancia</t>
  </si>
  <si>
    <t>Mide la proporción de amparos sobreseidos en materia civil primera instancia</t>
  </si>
  <si>
    <t>(Amparos sobreseidos/Amparo recibidos en materia civil primera instancia) * 100</t>
  </si>
  <si>
    <t>Porcentaje de amparos concedidos en materia civil primera instancia</t>
  </si>
  <si>
    <t>Mide la proporción de amparos concedidos en materia civil primera instancia</t>
  </si>
  <si>
    <t>(Amparos concedidos/Amparos recibidos en materia civil primera instancia) * 100</t>
  </si>
  <si>
    <t>Porcentaje de amparos denegados en materia civil primera instancia</t>
  </si>
  <si>
    <t>Mide la proporcion de amparos denegados en materia civil primera instancia</t>
  </si>
  <si>
    <t>(Amparos denegados/Amparo recibidos en materia civil primera instancia) * 100</t>
  </si>
  <si>
    <t>JUZGADOS MATERIA FAMILIAR 1A INSTANCIA</t>
  </si>
  <si>
    <r>
      <t xml:space="preserve">Componente 3 </t>
    </r>
    <r>
      <rPr>
        <b/>
        <i/>
        <sz val="9"/>
        <color theme="1"/>
        <rFont val="Calibri"/>
        <family val="2"/>
        <scheme val="minor"/>
      </rPr>
      <t>Gestion Materia Familiar Primera Instancia</t>
    </r>
  </si>
  <si>
    <t>Asuntos en materia familiar ingresados por los justiciables en Primera Instancia atendidos y resueltos</t>
  </si>
  <si>
    <t>Porcentaje de sentencias definitivas  respecto de las demandas admitidas en materia familiar primera instancia</t>
  </si>
  <si>
    <t xml:space="preserve">Expresa el grado de atención y resolución de las demandas admitidas en los distintos Juzgados en materia familiar de primera instancia </t>
  </si>
  <si>
    <t>(Sentencias definitivas en materia familiar primera instancia/ demandas admitidas) * 100</t>
  </si>
  <si>
    <t>Variación porcentual de las sentencias definitivas en materia familiar emitidas en primera instancia</t>
  </si>
  <si>
    <t>Mide la variacion porcentual de las sentencias definitivas en materia familiar en primera instancia respecto al año inmediato anterior</t>
  </si>
  <si>
    <t>((Sentencias definitivas emitidas en materia familiar en primera instancia/ Sentencias definitivas en materia familiar en primera instancia emitidas en el mismo periodo del ejercicio inmediato anterior)-1)*100</t>
  </si>
  <si>
    <t>Porcentaje de amparos en materia familiar primera instancia resueltos</t>
  </si>
  <si>
    <t xml:space="preserve">Expresa el grado de atención y resolución de amparos en materia familiar primera instancia </t>
  </si>
  <si>
    <t>((Aamparos concedidos+ amparos denegados+amparos sobreseidos)/Amparos recibidos en materia familiar primera instancia)*100</t>
  </si>
  <si>
    <t>Actividad 3.1</t>
  </si>
  <si>
    <t>Admisión de demandas en materia familiar primera instancia</t>
  </si>
  <si>
    <t>Porcentaje de demandas en materia familiar primera instancia admitidas</t>
  </si>
  <si>
    <t>Mide la proporción de demandas admitidas respecto a la cantidad de demandas presentadas en materia familiar primera instancia</t>
  </si>
  <si>
    <t>(Demandas admitidas/ demandas presentadas en materia familiar primera instancia)*100</t>
  </si>
  <si>
    <t>Actividad 3.2</t>
  </si>
  <si>
    <t>Ejecución de notificaciones materia familiar primera instancia</t>
  </si>
  <si>
    <t>Porcentaje de notificaciones en materia familiar primera instancia realizadas</t>
  </si>
  <si>
    <t>Mide la proporción de notificaciones realizadas respecto a la cantidad de demandas admitidas en materia familiar primera instancia</t>
  </si>
  <si>
    <t>(Notificaciones realizadas / demandas admitidas en materia familiar primera instancia)*100</t>
  </si>
  <si>
    <t>Actividad 3.3</t>
  </si>
  <si>
    <t>Realización de comparecencias en materia familiar primera instancia</t>
  </si>
  <si>
    <t>Porcentaje de comparecencias en materia familiar primera intancia realizadas</t>
  </si>
  <si>
    <t>Mide la proporción de comparecencias realizadas respecto a la cantidad de demandas admitidas en materia familiar primera instancia</t>
  </si>
  <si>
    <t>(Comparecencias realizadas/ demandas admitidas en materia familiar primera instancia)*100</t>
  </si>
  <si>
    <t>Actividad 3.4</t>
  </si>
  <si>
    <t>Gestión de amparos en materia familiar primera instancia</t>
  </si>
  <si>
    <t>Porcentaje de amparos sobreseidos en materia familiar primera instancia</t>
  </si>
  <si>
    <t>Mide la proporción de amparos sobreseidos en materia familiar primera instancia</t>
  </si>
  <si>
    <t>(Amparos sobreseidos/Amparo recibidos en materia familiar primera instancia) * 100</t>
  </si>
  <si>
    <t>Porcentaje de amparos concedidos en materia familiar primera instancia</t>
  </si>
  <si>
    <t>Mide la proporción de amparos concedidos en materia familiar primera instancia</t>
  </si>
  <si>
    <t>(Amparos concedidos/Amparos recibidos en materia familiar primera instancia) * 100</t>
  </si>
  <si>
    <t>Porcentaje de amparos denegados en materia familiar primera instancia</t>
  </si>
  <si>
    <t>Mide la proporcion de amparos denegados en materia familiar primera instancia</t>
  </si>
  <si>
    <t>(Amparos denegados/Amparo recibidos en materia familiar primera instancia) * 100</t>
  </si>
  <si>
    <t>JUZGADOS MATERIA MERCANTIL 1A INSTANCIA</t>
  </si>
  <si>
    <r>
      <t xml:space="preserve">Componente 4 </t>
    </r>
    <r>
      <rPr>
        <b/>
        <i/>
        <sz val="9"/>
        <color theme="1"/>
        <rFont val="Calibri"/>
        <family val="2"/>
        <scheme val="minor"/>
      </rPr>
      <t>Gestión Materia Mercantil Primera Instancia</t>
    </r>
  </si>
  <si>
    <t>Asuntos en materia mercantil ingresados por los justiciables en Primera Instancia atendidos y resueltos</t>
  </si>
  <si>
    <t>Porcentaje de sentencias definitivas  respecto de las demandas admitidas en materia mercantil primera instancia</t>
  </si>
  <si>
    <t xml:space="preserve">Expresa el grado de atención y resolución de las demandas admitidas en los distintos Juzgados en materia mercantil de primera instancia </t>
  </si>
  <si>
    <t>(Sentencias definitivas en materia mercantil primera instancia/ demandas admitidas) * 100</t>
  </si>
  <si>
    <t>Variación porcentual de las sentencias definitivas en materia mercantil emitidas en primera instancia</t>
  </si>
  <si>
    <t>Mide la variacion porcentual de las sentencias definitivas en materia mercantil en primera instancia respecto al año inmediato anterior</t>
  </si>
  <si>
    <t>((Sentencias definitivas emitidas en materia mercantil en primera instancia/ Sentencias definitivas en materia mercantil en primera instancia emitidas en el mismo periodo del ejercicio inmediato anterior)-1)*100</t>
  </si>
  <si>
    <t>Porcentaje de amparos en materia mercantil primera instancia resueltos</t>
  </si>
  <si>
    <t xml:space="preserve">Expresa el grado de atención y resolución de amparos en materia mercantil primera instancia </t>
  </si>
  <si>
    <t>((Aamparos concedidos+ amparos denegados+amparos sobreseidos)/Amparos recibidos en materia mercantil primera instancia)*100</t>
  </si>
  <si>
    <t>Actividad 4.1</t>
  </si>
  <si>
    <t>Admisión de demandas en materia mercantil primera instancia</t>
  </si>
  <si>
    <t>Porcentaje de demandas en materia mercantil primera instancia admitidas</t>
  </si>
  <si>
    <t>Mide la proporción de demandas admitidas respecto a la cantidad de demandas presentadas en materia mercantil primera instancia</t>
  </si>
  <si>
    <t>(Demandas admitidas/ demandas presentadas en materia mercantil primera instancia)*100</t>
  </si>
  <si>
    <t>Actividad 4.2</t>
  </si>
  <si>
    <t>Ejecución de notificaciones materia mercantil primera instancia</t>
  </si>
  <si>
    <t>Porcentaje de notificaciones en materia mercantil primera instancia realizadas</t>
  </si>
  <si>
    <t>Mide la proporción de notificaciones realizadas respecto a la cantidad de demandas admitidas en materia mercantil primera instancia</t>
  </si>
  <si>
    <t>(Notificaciones realizadas / demandas admitidas en materia mercantil primera instancia)*100</t>
  </si>
  <si>
    <t>Actividad 4.3</t>
  </si>
  <si>
    <t>Realización de comparecencias en materia mercantil primera instancia</t>
  </si>
  <si>
    <t>Porcentaje de comparecencias en materia mercantil primera intancia realizadas</t>
  </si>
  <si>
    <t>Mide la proporción de comparecencias realizadas respecto a la cantidad de demandas admitidas en materia mercantil primera instancia</t>
  </si>
  <si>
    <t>(Comparecencias realizadas/ demandas admitidas en matericia mercantil primera instancia)*100</t>
  </si>
  <si>
    <t>Actividad 4.4</t>
  </si>
  <si>
    <t>Gestión de amparos en materia mercantil primera instancia</t>
  </si>
  <si>
    <t>Porcentaje de amparos sobreseidos en materia mercantil primera instancia</t>
  </si>
  <si>
    <t>Mide la proporción de amparos sobreseidos en materia mercantil primera instancia</t>
  </si>
  <si>
    <t>(Amparos sobreseidos/Amparo recibidos en materia mercantil primera instancia) * 100</t>
  </si>
  <si>
    <t>Porcentaje de amparos concedidos en materia mercantil primera instancia</t>
  </si>
  <si>
    <t>Mide la proporción de amparos concedidos en materia mercantil primera instancia</t>
  </si>
  <si>
    <t>(Amparos concedidos/Amparos recibidos en materia mercantil primera instancia) * 100</t>
  </si>
  <si>
    <t>Porcentaje de amparos denegados en materia mercantil primera instancia</t>
  </si>
  <si>
    <t>Mide la proporcion de amparos denegados en materia mercantil primera instancia</t>
  </si>
  <si>
    <t>(Amparos denegados/Amparo recibidos en materia mercantil primera instancia) * 100</t>
  </si>
  <si>
    <t>JUZGADOS MENOR CIVIL 1A INSTANCIA</t>
  </si>
  <si>
    <r>
      <t xml:space="preserve">Componente 5 </t>
    </r>
    <r>
      <rPr>
        <b/>
        <i/>
        <sz val="9"/>
        <color theme="1"/>
        <rFont val="Calibri"/>
        <family val="2"/>
        <scheme val="minor"/>
      </rPr>
      <t>Gestion Asuntos Menores Materia Civil</t>
    </r>
  </si>
  <si>
    <t>Asuntos menores en materia civil ingresados por los justiciables en Primera Instancia atendidos y resueltos</t>
  </si>
  <si>
    <t>Porcentaje de sentencias definitivas  respecto de las demandas admitidas de asuntos menores en materia civil primera instancia</t>
  </si>
  <si>
    <t xml:space="preserve">Expresa el grado de atención y resolución de las demandas admitidas de asuntos menores en materia civil de primera instancia </t>
  </si>
  <si>
    <t>(Sentencias definitivas de asuntos menores en materia civil primera instancia/ demandas admitidas) * 100</t>
  </si>
  <si>
    <t>Variación porcentual de las sentencias definitivas de asuntos menores en materia civil emitidas en primera instancia</t>
  </si>
  <si>
    <t>Mide la variacion porcentual de las sentencias definitivas de asuntos menores en materia civil en primera instancia respecto al año inmediato anterior</t>
  </si>
  <si>
    <t>((Sentencias definitivas de asuntos menores en materia civil en primera instancia/ Sentencias definitivas de asuntos menores en materia civil en primera instancia emitidas en el mismo periodo del ejercicio inmediato anterior)-1)*100</t>
  </si>
  <si>
    <t>Porcentaje de amparos de asuntos menores en materia civil primera instancia resueltos</t>
  </si>
  <si>
    <t xml:space="preserve">Expresa el grado de atención y resolución de amparos de asuntos menores en materia civil primera instancia </t>
  </si>
  <si>
    <t>((Aamparos concedidos+ amparos denegados+amparos sobreseidos)/Amparos recibidos de asuntos menores en materia civil primera instancia)*100</t>
  </si>
  <si>
    <t>Actividad 5.1</t>
  </si>
  <si>
    <t>Admisión de demandas de asuntos menores en materia civil primera instancia</t>
  </si>
  <si>
    <t>Porcentaje de demandas de asuntos menores en materia civil primera instancia admitidas</t>
  </si>
  <si>
    <t xml:space="preserve">Mide la proporción de demandas admitidas respecto a la cantidad de demandas presentadas sobre asuntos menores en materia civil primera instancia </t>
  </si>
  <si>
    <t>(Demandas admitidas/ demandas presentadas  de asuntos menores en materia civil primera instancia)*100</t>
  </si>
  <si>
    <t>Actividad 5.2</t>
  </si>
  <si>
    <t>Ejecución de notificaciones de asuntos menores en materia civil primera instancia</t>
  </si>
  <si>
    <t>Porcentaje de notificaciones de asuntos menores en materia civil primera instancia realizadas</t>
  </si>
  <si>
    <t>Mide la proporción de notificaciones realizadas respecto a la cantidad de demandas admitidas en asuntos menores en materia civil primera instancia</t>
  </si>
  <si>
    <t>(Notificaciones realizadas / demandas admitidas  de asuntos menores en materia civil primera instancia)*100</t>
  </si>
  <si>
    <t>Actividad 5.3</t>
  </si>
  <si>
    <t>Realización de comparecencias en asuntos menores en materia civil primera instancia</t>
  </si>
  <si>
    <t>Porcentaje de comparecencias de asuntos menores en materia civil primera intancia realizadas</t>
  </si>
  <si>
    <t>Mide la proporción de comparecencias realizadas respecto a la cantidad de demandas admitidas de asuntos menores en materia civil primera instancia</t>
  </si>
  <si>
    <t>(Comparecencias realizadas/ demandas admitidas  de asuntos menores en materia civil primera instancia)*100</t>
  </si>
  <si>
    <t>Actividad 5.4</t>
  </si>
  <si>
    <t>Gestión de amparos  de asuntos menores en materia civil primera instancia</t>
  </si>
  <si>
    <t>Porcentaje de amparos sobreseidos de asuntos menores en materia civil primera instancia</t>
  </si>
  <si>
    <t>Mide la proporción de amparos sobreseidos de asuntos menores en materia civil primera instancia</t>
  </si>
  <si>
    <t>(Amparos sobreseidos/Amparo recibidos de asuntos menores en materia civil primera instancia) * 100</t>
  </si>
  <si>
    <t>Porcentaje de amparos concedidos de asuntos menores en materia civil primera instancia</t>
  </si>
  <si>
    <t>Mide la proporción de amparos concedidos de asuntos menores en materia civil primera instancia</t>
  </si>
  <si>
    <t>(Amparos concedidos/Amparos recibidos de asuntos menores en materia civil primera instancia) * 100</t>
  </si>
  <si>
    <t>Porcentaje de amparos denegados de asuntos menores en materia civil primera instancia</t>
  </si>
  <si>
    <t>Mide la proporcion de amparos denegados de asuntos menores en materia civil primera instancia</t>
  </si>
  <si>
    <t>(Amparos denegados/Amparo recibidos de asuntos menores en materia civil primera instancia) * 100</t>
  </si>
  <si>
    <t>JUZGADOS MENOR MERCANTIL 1A INSTANCIA</t>
  </si>
  <si>
    <r>
      <t xml:space="preserve">Componente 6 </t>
    </r>
    <r>
      <rPr>
        <b/>
        <i/>
        <sz val="9"/>
        <color theme="1"/>
        <rFont val="Calibri"/>
        <family val="2"/>
        <scheme val="minor"/>
      </rPr>
      <t>Gestion Asuntos Menores Materia Mercantil</t>
    </r>
  </si>
  <si>
    <t>Asuntos menores en materia mercantil ingresados por los justiciables en Primera Instancia atendidos y resueltos</t>
  </si>
  <si>
    <t>Porcentaje de sentencias definitivas  respecto de las demandas admitidas de asuntos menores en materia mercantil primera instancia</t>
  </si>
  <si>
    <t xml:space="preserve">Expresa el grado de atención y resolución de las demandas admitidas de asuntos menores en materia mercantil de primera instancia </t>
  </si>
  <si>
    <t>(Sentencias definitivas de asuntos menores en materia mercantil primera instancia/ demandas admitidas) * 100</t>
  </si>
  <si>
    <t>Variación porcentual de las sentencias definitivas de asuntos menores en materia mercantil emitidas en primera instancia</t>
  </si>
  <si>
    <t>Mide la variacion porcentual de las sentencias definitivas de asuntos menores en materia mercantil en primera instancia respecto al año inmediato anterior</t>
  </si>
  <si>
    <t>((Sentencias definitivas de asuntos menores en materia civil en primera instancia/ Sentencias definitivas de asuntos menores en materia mercantil en primera instancia emitidas en el mismo periodo del ejercicio inmediato anterior)-1)*100</t>
  </si>
  <si>
    <t>Porcentaje de amparos de asuntos menores en materia mercantil primera instancia resueltos</t>
  </si>
  <si>
    <t xml:space="preserve">Expresa el grado de atención y resolución de amparos de asuntos menores en materia mercantil primera instancia </t>
  </si>
  <si>
    <t>((Amparos concedidos+ amparos denegados+amparos sobreseidos)/Amparos recibidos de asuntos menores en materia mercantil primera instancia)*100</t>
  </si>
  <si>
    <t>Datos de amparos confirmados por Juzgado Segundo Menor. Trimestre 2 de 2022</t>
  </si>
  <si>
    <t>Actividad 6.1</t>
  </si>
  <si>
    <t>Admisión de demandas de asuntos menores en materia mercantil primera instancia</t>
  </si>
  <si>
    <t>Porcentaje de demandas de asuntos menores en materia mercantil primera instancia admitidas</t>
  </si>
  <si>
    <t xml:space="preserve">Mide la proporción de demandas admitidas respecto a la cantidad de demandas presentadas sobre asuntos menores en materia mercantil primera instancia </t>
  </si>
  <si>
    <t>(Demandas admitidas/ demandas presentadas  de asuntos menores en materia mercantil primera instancia)*100</t>
  </si>
  <si>
    <t>Actividad 6.2</t>
  </si>
  <si>
    <t>Ejecución de notificaciones de asuntos menores en materia mercantil primera instancia</t>
  </si>
  <si>
    <t>Porcentaje de notificaciones de asuntos menores en materia mercantil primera instancia realizadas</t>
  </si>
  <si>
    <t>Mide la proporción de notificaciones realizadas respecto a la cantidad de demandas admitidas en asuntos menores en materia mercantil primera instancia</t>
  </si>
  <si>
    <t>(Notificaciones realizadas / demandas admitidas  de asuntos menores en materia mercantil primera instancia)*100</t>
  </si>
  <si>
    <t>Actividad 6.3</t>
  </si>
  <si>
    <t>Realización de comparecencias en asuntos menores en materia mercantil primera instancia</t>
  </si>
  <si>
    <t>Porcentaje de comparecencias de asuntos menores en materia mercantil primera intancia realizadas</t>
  </si>
  <si>
    <t>Mide la proporción de comparecencias realizadas respecto a la cantidad de demandas admitidas de asuntos menores en materia mercantil primera instancia</t>
  </si>
  <si>
    <t>(Comparecencias realizadas/ demandas admitidas  de asuntos menores en materia mercantil primera instancia)*100</t>
  </si>
  <si>
    <t>Actividad 6.4</t>
  </si>
  <si>
    <t>Gestión de amparos  de asuntos menores en materia mercantil primera instancia</t>
  </si>
  <si>
    <t>Porcentaje de amparos sobreseidos de asuntos menores en materia mercantil primera instancia</t>
  </si>
  <si>
    <t>Mide la proporción de amparos sobreseidos de asuntos menores en materia mercantil primera instancia</t>
  </si>
  <si>
    <t>(Amparos sobreseidos/Amparo recibidos de asuntos menores en materia mercantil primera instancia) * 100</t>
  </si>
  <si>
    <t>Porcentaje de amparos concedidos de asuntos menores en materia mercantil primera instancia</t>
  </si>
  <si>
    <t>Mide la proporción de amparos concedidos de asuntos menores en materia mercantil primera instancia</t>
  </si>
  <si>
    <t>(Amparos concedidos/Amparos recibidos de asuntos menores en materia mercantil primera instancia) * 100</t>
  </si>
  <si>
    <t>Porcentaje de amparos denegados de asuntos menores en materia mercantil primera instancia</t>
  </si>
  <si>
    <t>Mide la proporcion de amparos denegados de asuntos menores en materia mercantil primera instancia</t>
  </si>
  <si>
    <t>(Amparos denegados/Amparo recibidos de asuntos menores en materia mercantil primera instancia) * 100</t>
  </si>
  <si>
    <t>1 trimestre 2023</t>
  </si>
  <si>
    <t>sentencias definitivas</t>
  </si>
  <si>
    <t>desistimiento</t>
  </si>
  <si>
    <t>convenio</t>
  </si>
  <si>
    <t>Denegada apelación</t>
  </si>
  <si>
    <t>incompetencia</t>
  </si>
  <si>
    <t>Desistimiento</t>
  </si>
  <si>
    <t>Desiertos</t>
  </si>
  <si>
    <t>Demandas presentdas</t>
  </si>
  <si>
    <t>Demandas admitidas</t>
  </si>
  <si>
    <t>;+474?</t>
  </si>
  <si>
    <t>aa29 + 782</t>
  </si>
  <si>
    <t>asuntos iniciados 2da inst Trim2</t>
  </si>
  <si>
    <t>Civil</t>
  </si>
  <si>
    <t>Familiar</t>
  </si>
  <si>
    <t>Trimestre 2</t>
  </si>
  <si>
    <t>Mercantil</t>
  </si>
  <si>
    <t>Menor civil</t>
  </si>
  <si>
    <t>Menor mercantil</t>
  </si>
  <si>
    <t>Penal tradicional</t>
  </si>
  <si>
    <t>Segunda Inst</t>
  </si>
  <si>
    <t>A (Conc. Sent)</t>
  </si>
  <si>
    <t>B (Otros tipos conclusión)</t>
  </si>
  <si>
    <t>A+B 
(Total conclusiones)</t>
  </si>
  <si>
    <t>asuntos 2da inst</t>
  </si>
  <si>
    <t>ok 1Ra Inst</t>
  </si>
  <si>
    <t>Dts 2da Inst</t>
  </si>
  <si>
    <t>2trimestre 2023</t>
  </si>
  <si>
    <t>ojo</t>
  </si>
  <si>
    <t>asuntos iniciados 2da</t>
  </si>
  <si>
    <t>/</t>
  </si>
  <si>
    <t>EL número mayor de demandas admitidas a las presentadas se jsutifica con la aceptación de demandas prevenidas de mes inmediato anterior para la presentación de las cofras de los informes correspondientes</t>
  </si>
  <si>
    <t>477 es la cifra de de asuntos ingresados (menos) los ingresados en oralidad mercantil y penal (7+156)</t>
  </si>
  <si>
    <t>Año 2023</t>
  </si>
  <si>
    <t>Trim 1</t>
  </si>
  <si>
    <t>Trim 2</t>
  </si>
  <si>
    <t>Trim 3</t>
  </si>
  <si>
    <t>Trim 4</t>
  </si>
  <si>
    <t>H. TRIBUNAL SUPERIOR DE JUSTICIA DEL ESTADO DE MORELOS</t>
  </si>
  <si>
    <t>MATRIZ DE INDICADORES DE RESULTADOS</t>
  </si>
  <si>
    <t>Juzgado Especializado de Control, Enjuiciamiento y Ejecución del Distrito Judicial Unico del Sistema Penal Acusatorio</t>
  </si>
  <si>
    <t>JO - Administración e imparticion de Justicia Penal Sistema Oral (Acusatorio Adversarial) 2023</t>
  </si>
  <si>
    <t>Asegurar el acceso en condiciones de igualdad a todos los justiciable a un sistema de justicia penal oral que garantice plenamente la protección y seguridad jurídica, así como el debido proceso, haciendo valer los derechos humanos fundamentales, la igualdad de género y las garantías individuales de los particulares consagrados en la Carta Magna y la Constitución local del Estado.</t>
  </si>
  <si>
    <t>3 Trimestre 2023</t>
  </si>
  <si>
    <t>1 TRIM</t>
  </si>
  <si>
    <t>2 TRIM</t>
  </si>
  <si>
    <t>3 TRIM</t>
  </si>
  <si>
    <t>4 TRIM</t>
  </si>
  <si>
    <t>ACUM</t>
  </si>
  <si>
    <t>Cobertura  de servicios de impartición de justicia bajo el Sistema de Justicia Penal Acusatorio en el Estado de Morelos</t>
  </si>
  <si>
    <t>Expresa la proporcion de juzgadores del Sistema de Justicia Penal Acusatorio por cada 100,000 habitantes</t>
  </si>
  <si>
    <t xml:space="preserve">Numero de jueces y juezas del Sistema de Justicia Penal Acusatorio / población del Estado de Morelos /100,000 </t>
  </si>
  <si>
    <t xml:space="preserve">Los justiciables acceden a un sistema de justicia penal donde los conflictos se resuelven de manera imparcial en audiencias orales, de corte acusatorio adversarial y públicas, en las que se observe la presunción de inocencia, el debido proceso y el respeto pleno e irrestricto a los Derechos Humanos. </t>
  </si>
  <si>
    <t>Indice de resolución de conflictos en material penal sistema oral</t>
  </si>
  <si>
    <t>Refleja el grado de resolución de las causas iniciados en las distintas sedes del Juzgado Especializado de Control, Enjuiciamiento y Ejecución del Distrito Judicial Unico del Sistema Penal Acusatorio</t>
  </si>
  <si>
    <r>
      <t>( Total de sentencias dictadas en el sistema de justicia penal oral+Carpetas desahogadas via procedimiento abreviado+carpetas finalizadas por medios alternos  /  total de causas</t>
    </r>
    <r>
      <rPr>
        <i/>
        <sz val="8"/>
        <color theme="1"/>
        <rFont val="Calibri"/>
        <family val="2"/>
        <scheme val="minor"/>
      </rPr>
      <t xml:space="preserve"> iniciadas</t>
    </r>
    <r>
      <rPr>
        <sz val="8"/>
        <color theme="1"/>
        <rFont val="Calibri"/>
        <family val="2"/>
        <scheme val="minor"/>
      </rPr>
      <t xml:space="preserve"> en el sistema de justicia penal oral) X 100.</t>
    </r>
  </si>
  <si>
    <r>
      <t xml:space="preserve">Componente 1 </t>
    </r>
    <r>
      <rPr>
        <b/>
        <i/>
        <sz val="9"/>
        <color theme="1"/>
        <rFont val="Calibri"/>
        <family val="2"/>
        <scheme val="minor"/>
      </rPr>
      <t>Gestión Sistema Justicia Penal Oral</t>
    </r>
  </si>
  <si>
    <t>Causas inicidas por los justiciables en el sistema de Justicia Penal Oral atendidas y resueltas</t>
  </si>
  <si>
    <t>Porcentaje de sentencias definitivas  respecto de los asuntos iniciados en materia penal oral</t>
  </si>
  <si>
    <t>Expresa el grado de resolución de los casos iniciados en la etapa de enjuiciamiento en las distintas sedes del Juzgado Especializado de Control, Enjuiciamiento y Ejecución del Distrito Judicial Unico del Sistema Penal Acusatorio</t>
  </si>
  <si>
    <r>
      <t>( Total de sentencias dictadas en el sistema de justicia penal oral  /  total de juicios</t>
    </r>
    <r>
      <rPr>
        <i/>
        <sz val="8"/>
        <color theme="1"/>
        <rFont val="Calibri"/>
        <family val="2"/>
        <scheme val="minor"/>
      </rPr>
      <t xml:space="preserve"> iniciados</t>
    </r>
    <r>
      <rPr>
        <sz val="8"/>
        <color theme="1"/>
        <rFont val="Calibri"/>
        <family val="2"/>
        <scheme val="minor"/>
      </rPr>
      <t xml:space="preserve"> en el sistema de justicia penal oral) X 100.</t>
    </r>
  </si>
  <si>
    <t>Porcentaje de carpetas que se desahogan por la vía del procedimiento abreviado.</t>
  </si>
  <si>
    <t>Mide la proporción de carpetas que se desahogan por la vía del procedimiento abreviado</t>
  </si>
  <si>
    <t>Número de carpetas que se desahogan por la vía del procedimiento abreviado en el semestre inmediato anterior / total de carpetas que ingresan en el periodo X 100.</t>
  </si>
  <si>
    <t>Porcentaje de carpetas que finalizan por salidas alternas del proceso.</t>
  </si>
  <si>
    <t>Mide la proporción de carpetas que finalizan por soluciones alternas del proceso.</t>
  </si>
  <si>
    <t>Número de Carpetas que finalizan por soluciones alternas, en el semestre inmediato anterior / Total de carpetas que ingresan en el mismo período X 100.</t>
  </si>
  <si>
    <t>Avance  2022 Valor absoluto</t>
  </si>
  <si>
    <t>Avance 2022 Valor relativo</t>
  </si>
  <si>
    <t>Vinculación a proceso</t>
  </si>
  <si>
    <t>Porcentaje de asuntos que de la etapa de control o de primera audiencia, pasan a juicio oral.</t>
  </si>
  <si>
    <t>Mide el porcentaje de asuntos que inician un juicio oral en los juzgados del sistema penal oral.</t>
  </si>
  <si>
    <t>Número de asuntos en etapa de juicio oral / Número de asuntos en etapa de control X 100</t>
  </si>
  <si>
    <t>Porcentaje de audiencias efectivamente desahogadas</t>
  </si>
  <si>
    <t>Mide la proporción de audiencias que efectivamente fueron celebradas</t>
  </si>
  <si>
    <t>Número de audiencias efectivamente desahogadas en el periodo / Audiencias programadas en el periodo</t>
  </si>
  <si>
    <t>Emisión de sentencias</t>
  </si>
  <si>
    <t>Tasa de sentencia y de resolución en juzgados de primera instancia en el sistema de justicia oral y salas .</t>
  </si>
  <si>
    <t>Mide el porcentaje de sentencias y resoluciones emitidas por los órganos jurisdiccionales de primera y segunda instancia, respecto del total de juicios iniciados y apelaciones, en el sistema de justicia oral.</t>
  </si>
  <si>
    <t>( Total de sentencias dictadas en el sistema de justicia oral + resoluciones en salas) / ( total de juicios iniciados en el sistema de justicia oral + expedientes ingresados en sala por apelación del sistema de justicia oral) X 100.</t>
  </si>
  <si>
    <t>171 SEGUNDA INSTYANCIA Penal</t>
  </si>
  <si>
    <t>Tasa de apelación respecto de sentencias en el sistema de justicia oral.</t>
  </si>
  <si>
    <t>Mide el porcentaje que representan el número de apelaciones con respecto del total de sentencias dictadas, en el sistema de justicia oral.</t>
  </si>
  <si>
    <t>(Número total de apelaciones contra sentencias definitivas en el sistema de justicia oral/sentencias dictadas  en el sistema de justicia oral, en el periodo)x100</t>
  </si>
  <si>
    <t>se cuentan abrevs.. Que es casi nula una apel en abrev.</t>
  </si>
  <si>
    <t>Semaforización pendiente por falta de valores de referencia</t>
  </si>
  <si>
    <t>Instituto de Justicia Alternativa</t>
  </si>
  <si>
    <t>JA - Administración e imparticion de Justicia Alternativa 2023</t>
  </si>
  <si>
    <t>Solución de conflictos a través de mecanismos alternativos que permitan procesos cortos, menores costos y una mayor satisfacción para las partes involucradas.</t>
  </si>
  <si>
    <t>Asegurar el acceso en condiciones de igualdad a todos los justiciable a un sistema de justicia  alternativa donde se pueda alcanzar un acuerdo entre los involucrados a través de la voluntad, la cooperación y el diálogo</t>
  </si>
  <si>
    <t>PRIMER TRIMESTRE 2023</t>
  </si>
  <si>
    <t>SEGUNDO TRIMESTRE 2023</t>
  </si>
  <si>
    <t>TERCER TRIMESTRE 2023</t>
  </si>
  <si>
    <t>CUARTO TRIMESTRE 2023</t>
  </si>
  <si>
    <t>ACUMULADO</t>
  </si>
  <si>
    <t>3 TRIM 2023</t>
  </si>
  <si>
    <t>= - 20%</t>
  </si>
  <si>
    <t>&gt; - 20%</t>
  </si>
  <si>
    <t>Cobertura  de servicios de solucion de conflictos por mecanismos alternativos en el Estado de Morelos</t>
  </si>
  <si>
    <t>Expresa la proporcion de facilitadores del Sistema de Justicia Alternativa por cada 100,000 habitantes</t>
  </si>
  <si>
    <t xml:space="preserve">Numero de facilitadores del Sistema de Justicia Alternativa / población del Estado de Morelos /100,000 </t>
  </si>
  <si>
    <t>Los justiciables acceden al sistema de justicia alternativa para la solución de sus conflictos,  involucrandose de manera voluntaria y proactiva, con la ayuda de mediadores certificados, observando en todo momento los principios de voluntariedad, confidencialidad, equidad y flexibilidad, sin afectar derechos de terceros ni el orden.</t>
  </si>
  <si>
    <t>Indice de conclusión de expedientes</t>
  </si>
  <si>
    <t>Refleja el grado de atención de las causas iniciadas en las distintas sedes del Centro Morelense de Mecanismos Alternativos para la Solución de Controversias</t>
  </si>
  <si>
    <r>
      <t xml:space="preserve">( Total de expedientes concluidos en el sistema de justicia alternativa  /  total de expedientes </t>
    </r>
    <r>
      <rPr>
        <i/>
        <sz val="8"/>
        <color theme="1"/>
        <rFont val="Calibri"/>
        <family val="2"/>
        <scheme val="minor"/>
      </rPr>
      <t>iniciados</t>
    </r>
    <r>
      <rPr>
        <sz val="8"/>
        <color theme="1"/>
        <rFont val="Calibri"/>
        <family val="2"/>
        <scheme val="minor"/>
      </rPr>
      <t xml:space="preserve"> en el sistema de justicia alternativa) X 100.</t>
    </r>
  </si>
  <si>
    <r>
      <t xml:space="preserve">Componente 1 </t>
    </r>
    <r>
      <rPr>
        <b/>
        <i/>
        <sz val="9"/>
        <color theme="1"/>
        <rFont val="Calibri"/>
        <family val="2"/>
        <scheme val="minor"/>
      </rPr>
      <t>Gestión Sistema Justicia Alternativa</t>
    </r>
  </si>
  <si>
    <t xml:space="preserve">Conflictos concluidos por mecanismos alternativos de solución </t>
  </si>
  <si>
    <t xml:space="preserve">Porcentaje de acuerdos celebrados </t>
  </si>
  <si>
    <t>Expresa el grado de solución de conflictos mediante la celebración de acuerdos de los expedientes concluidos en las distintas sedes del Centro Morelense de Mecanismos Alternativos para la Solución de Controversias</t>
  </si>
  <si>
    <r>
      <t>( Total de acuerdos celebrados  /  total de expedientes</t>
    </r>
    <r>
      <rPr>
        <i/>
        <sz val="8"/>
        <color theme="1"/>
        <rFont val="Calibri"/>
        <family val="2"/>
        <scheme val="minor"/>
      </rPr>
      <t xml:space="preserve"> concluidos</t>
    </r>
    <r>
      <rPr>
        <sz val="8"/>
        <color theme="1"/>
        <rFont val="Calibri"/>
        <family val="2"/>
        <scheme val="minor"/>
      </rPr>
      <t xml:space="preserve"> en el sistema de justicia alternativa) X 100.</t>
    </r>
  </si>
  <si>
    <t>Tiempo promedio de resolución de conflictos</t>
  </si>
  <si>
    <t>Mide el tiempo promedio de resolución de los expedientes concluidos</t>
  </si>
  <si>
    <t>Suma de la diferencia en dias entre la fecha de inicio del expediente y la fecha de su conclusión  / total de expedientes concluidos</t>
  </si>
  <si>
    <t>Dias</t>
  </si>
  <si>
    <t>Eficiencia</t>
  </si>
  <si>
    <t>Indice de satisfaccion</t>
  </si>
  <si>
    <t>Expresa el grado de satisfaccion respecto al servicio recibido en las distintas sedes del Centro Morelense de Mecanismos Alternativos para la Solución de Controversias</t>
  </si>
  <si>
    <t>Suma de calificación del servicio recibido / Total de expedientes concluidos</t>
  </si>
  <si>
    <t>Calidad</t>
  </si>
  <si>
    <t>Atención de personas</t>
  </si>
  <si>
    <t>Promedio de personas atendidas al dia por facilitador.</t>
  </si>
  <si>
    <t>Refleja el numero de personas atendidas diariamente por cada facilitador</t>
  </si>
  <si>
    <t>Total de personas atendidas / Número de facilitadores/ numero de dias laborados del periodo</t>
  </si>
  <si>
    <t>Personas x facilitador</t>
  </si>
  <si>
    <t>Ejecución de Invitaciones</t>
  </si>
  <si>
    <t>Porcentaje de invitaciones realizadas</t>
  </si>
  <si>
    <t xml:space="preserve">Mide la proporción de invitaciones realizadas respecto a la cantidad de expedientes iniciados </t>
  </si>
  <si>
    <t>(Número de invitaciones realizadas en el periodo / Expedientes iniciados en el periodo) x 100</t>
  </si>
  <si>
    <t>invitaciones por expediente</t>
  </si>
  <si>
    <t>Realización de sesiones</t>
  </si>
  <si>
    <t>Porcentaje de sesiones realizadas</t>
  </si>
  <si>
    <t>Mide la proporción de sesiones realizadas respecto a la cantidad de expedientes iniciados</t>
  </si>
  <si>
    <t>(Sesiones realizadas/ expedientes iniciados) x 100</t>
  </si>
  <si>
    <t>Sesiones por expediente</t>
  </si>
  <si>
    <t>Homologación de acuerdos</t>
  </si>
  <si>
    <t>Tasa de homologación de acuerdos celebrados</t>
  </si>
  <si>
    <t>Mide el porcentaje que representan el número de acuerdos homologados con respecto del total de acuerdos celebrados</t>
  </si>
  <si>
    <t>(Número acuerdos homologados / total de acuerdos celebrados en el periodo)x100</t>
  </si>
  <si>
    <t>Tiempo de resolución</t>
  </si>
  <si>
    <t>Lim. Inf</t>
  </si>
  <si>
    <t>Lim Sup</t>
  </si>
  <si>
    <t>Frecuencia          f</t>
  </si>
  <si>
    <t>marca clase x</t>
  </si>
  <si>
    <t>xf</t>
  </si>
  <si>
    <t>Media aritmética=</t>
  </si>
  <si>
    <t>Criterios Evaluacion</t>
  </si>
  <si>
    <t>Excelente</t>
  </si>
  <si>
    <t>Ene</t>
  </si>
  <si>
    <t>Abril</t>
  </si>
  <si>
    <t>3,4,5,6,7</t>
  </si>
  <si>
    <t>Julio</t>
  </si>
  <si>
    <t>17 al 31 (11)</t>
  </si>
  <si>
    <t>Oct</t>
  </si>
  <si>
    <t>Feb</t>
  </si>
  <si>
    <t>Mayo</t>
  </si>
  <si>
    <t>1,5,10</t>
  </si>
  <si>
    <t>Agosto</t>
  </si>
  <si>
    <t>1 al 6 (4)</t>
  </si>
  <si>
    <t>Nov</t>
  </si>
  <si>
    <t>1,2,3,20</t>
  </si>
  <si>
    <t>Mzo</t>
  </si>
  <si>
    <t>Junio</t>
  </si>
  <si>
    <t>Septiembre</t>
  </si>
  <si>
    <t>14, 15</t>
  </si>
  <si>
    <t>Dic</t>
  </si>
  <si>
    <t>Criterios Escala Evaluacion</t>
  </si>
  <si>
    <t>Regular</t>
  </si>
  <si>
    <t>Malo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</si>
</sst>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00"/>
    <numFmt numFmtId="166" formatCode="#,##0.0"/>
    <numFmt numFmtId="167" formatCode="0.0"/>
  </numFmts>
  <fonts count="67" x14ac:knownFonts="1">
    <font>
      <sz val="11"/>
      <color theme="1"/>
      <name val="Calibri"/>
      <family val="2"/>
      <scheme val="minor"/>
    </font>
    <font>
      <sz val="11"/>
      <color theme="1"/>
      <name val="Calibri"/>
      <family val="2"/>
      <scheme val="minor"/>
    </font>
    <font>
      <sz val="11"/>
      <color theme="1"/>
      <name val="Times New Roman"/>
      <family val="1"/>
    </font>
    <font>
      <b/>
      <u/>
      <sz val="11"/>
      <color theme="1"/>
      <name val="Calibri"/>
      <family val="2"/>
    </font>
    <font>
      <sz val="11"/>
      <color theme="1"/>
      <name val="Calibri"/>
      <family val="2"/>
    </font>
    <font>
      <sz val="10"/>
      <color theme="1"/>
      <name val="Arial Narrow"/>
      <family val="2"/>
    </font>
    <font>
      <b/>
      <sz val="10"/>
      <color theme="1"/>
      <name val="Arial Narrow"/>
      <family val="2"/>
    </font>
    <font>
      <sz val="10"/>
      <color theme="1"/>
      <name val="Calibri"/>
      <family val="2"/>
    </font>
    <font>
      <sz val="8"/>
      <color theme="1"/>
      <name val="Arial Narrow"/>
      <family val="2"/>
    </font>
    <font>
      <b/>
      <sz val="11"/>
      <color theme="1"/>
      <name val="Calibri"/>
      <family val="2"/>
    </font>
    <font>
      <sz val="11"/>
      <color theme="1"/>
      <name val="Arial Narrow"/>
      <family val="2"/>
    </font>
    <font>
      <sz val="10"/>
      <color rgb="FF333333"/>
      <name val="Calibri"/>
      <family val="2"/>
      <scheme val="minor"/>
    </font>
    <font>
      <sz val="10"/>
      <color theme="1"/>
      <name val="Calibri"/>
      <family val="2"/>
      <scheme val="minor"/>
    </font>
    <font>
      <sz val="11"/>
      <color theme="0"/>
      <name val="Calibri"/>
      <family val="2"/>
      <scheme val="minor"/>
    </font>
    <font>
      <u/>
      <sz val="10"/>
      <color theme="1"/>
      <name val="Arial Narrow"/>
      <family val="2"/>
    </font>
    <font>
      <b/>
      <sz val="11"/>
      <color theme="1"/>
      <name val="Calibri"/>
      <family val="2"/>
      <scheme val="minor"/>
    </font>
    <font>
      <sz val="11"/>
      <color rgb="FF9C0006"/>
      <name val="Calibri"/>
      <family val="2"/>
      <scheme val="minor"/>
    </font>
    <font>
      <sz val="11"/>
      <color rgb="FFFF0000"/>
      <name val="Calibri"/>
      <family val="2"/>
      <scheme val="minor"/>
    </font>
    <font>
      <b/>
      <sz val="18"/>
      <color theme="1"/>
      <name val="Calibri"/>
      <family val="2"/>
      <scheme val="minor"/>
    </font>
    <font>
      <b/>
      <sz val="14"/>
      <color theme="1"/>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b/>
      <sz val="8"/>
      <color theme="1"/>
      <name val="Calibri"/>
      <family val="2"/>
      <scheme val="minor"/>
    </font>
    <font>
      <b/>
      <sz val="9"/>
      <color rgb="FF00B050"/>
      <name val="Calibri"/>
      <family val="2"/>
      <scheme val="minor"/>
    </font>
    <font>
      <b/>
      <sz val="9"/>
      <color theme="7"/>
      <name val="Calibri"/>
      <family val="2"/>
      <scheme val="minor"/>
    </font>
    <font>
      <b/>
      <i/>
      <sz val="9"/>
      <color theme="1"/>
      <name val="Calibri"/>
      <family val="2"/>
      <scheme val="minor"/>
    </font>
    <font>
      <b/>
      <sz val="9"/>
      <color rgb="FFFF0000"/>
      <name val="Calibri"/>
      <family val="2"/>
      <scheme val="minor"/>
    </font>
    <font>
      <b/>
      <sz val="12"/>
      <color rgb="FFFF0000"/>
      <name val="Calibri"/>
      <family val="2"/>
      <scheme val="minor"/>
    </font>
    <font>
      <i/>
      <u/>
      <sz val="15"/>
      <color theme="1"/>
      <name val="Calibri"/>
      <family val="2"/>
      <scheme val="minor"/>
    </font>
    <font>
      <u/>
      <sz val="11"/>
      <color theme="1"/>
      <name val="Calibri"/>
      <family val="2"/>
      <scheme val="minor"/>
    </font>
    <font>
      <b/>
      <sz val="11"/>
      <color rgb="FFFF0000"/>
      <name val="Calibri"/>
      <family val="2"/>
      <scheme val="minor"/>
    </font>
    <font>
      <i/>
      <sz val="11"/>
      <color theme="1"/>
      <name val="Calibri"/>
      <family val="2"/>
      <scheme val="minor"/>
    </font>
    <font>
      <i/>
      <u/>
      <sz val="11"/>
      <color theme="1"/>
      <name val="Calibri"/>
      <family val="2"/>
      <scheme val="minor"/>
    </font>
    <font>
      <b/>
      <u/>
      <sz val="11"/>
      <color theme="1"/>
      <name val="Calibri"/>
      <family val="2"/>
      <scheme val="minor"/>
    </font>
    <font>
      <i/>
      <sz val="12"/>
      <color theme="1"/>
      <name val="Calibri"/>
      <family val="2"/>
      <scheme val="minor"/>
    </font>
    <font>
      <b/>
      <sz val="9"/>
      <color theme="7" tint="-0.249977111117893"/>
      <name val="Calibri"/>
      <family val="2"/>
      <scheme val="minor"/>
    </font>
    <font>
      <sz val="9"/>
      <color rgb="FFFF0000"/>
      <name val="Calibri"/>
      <family val="2"/>
      <scheme val="minor"/>
    </font>
    <font>
      <b/>
      <sz val="11"/>
      <name val="Calibri"/>
      <family val="2"/>
      <scheme val="minor"/>
    </font>
    <font>
      <sz val="7"/>
      <color theme="1"/>
      <name val="Arial Narrow"/>
      <family val="2"/>
    </font>
    <font>
      <sz val="12"/>
      <color theme="1"/>
      <name val="Calibri"/>
      <family val="2"/>
      <scheme val="minor"/>
    </font>
    <font>
      <sz val="13"/>
      <color theme="1"/>
      <name val="Calibri"/>
      <family val="2"/>
      <scheme val="minor"/>
    </font>
    <font>
      <b/>
      <sz val="8"/>
      <color theme="1"/>
      <name val="Arial Narrow"/>
      <family val="2"/>
    </font>
    <font>
      <b/>
      <sz val="8"/>
      <color rgb="FF92D050"/>
      <name val="Arial Narrow"/>
      <family val="2"/>
    </font>
    <font>
      <sz val="8"/>
      <color rgb="FF92D050"/>
      <name val="Arial Narrow"/>
      <family val="2"/>
    </font>
    <font>
      <sz val="12"/>
      <color rgb="FF92D050"/>
      <name val="Calibri"/>
      <family val="2"/>
      <scheme val="minor"/>
    </font>
    <font>
      <sz val="9"/>
      <color rgb="FF92D050"/>
      <name val="Calibri"/>
      <family val="2"/>
      <scheme val="minor"/>
    </font>
    <font>
      <b/>
      <sz val="9"/>
      <color theme="1"/>
      <name val="Arial Narrow"/>
      <family val="2"/>
    </font>
    <font>
      <b/>
      <sz val="13"/>
      <color theme="1"/>
      <name val="Calibri"/>
      <family val="2"/>
      <scheme val="minor"/>
    </font>
    <font>
      <b/>
      <sz val="12"/>
      <color theme="1"/>
      <name val="Calibri"/>
      <family val="2"/>
      <scheme val="minor"/>
    </font>
    <font>
      <b/>
      <sz val="12"/>
      <color rgb="FF92D050"/>
      <name val="Calibri"/>
      <family val="2"/>
      <scheme val="minor"/>
    </font>
    <font>
      <sz val="12"/>
      <color rgb="FFFF0000"/>
      <name val="Calibri"/>
      <family val="2"/>
      <scheme val="minor"/>
    </font>
    <font>
      <b/>
      <sz val="15"/>
      <color rgb="FF92D050"/>
      <name val="Calibri"/>
      <family val="2"/>
      <scheme val="minor"/>
    </font>
    <font>
      <sz val="15"/>
      <color rgb="FF92D050"/>
      <name val="Calibri"/>
      <family val="2"/>
      <scheme val="minor"/>
    </font>
    <font>
      <b/>
      <sz val="16"/>
      <color rgb="FF92D050"/>
      <name val="Calibri"/>
      <family val="2"/>
      <scheme val="minor"/>
    </font>
    <font>
      <b/>
      <sz val="15"/>
      <color theme="1"/>
      <name val="Calibri"/>
      <family val="2"/>
      <scheme val="minor"/>
    </font>
    <font>
      <b/>
      <sz val="17"/>
      <color theme="1"/>
      <name val="Calibri"/>
      <family val="2"/>
      <scheme val="minor"/>
    </font>
    <font>
      <b/>
      <sz val="8"/>
      <color indexed="81"/>
      <name val="Tahoma"/>
      <family val="2"/>
    </font>
    <font>
      <sz val="8"/>
      <color indexed="81"/>
      <name val="Tahoma"/>
      <family val="2"/>
    </font>
    <font>
      <b/>
      <sz val="9"/>
      <color theme="9" tint="-0.249977111117893"/>
      <name val="Calibri"/>
      <family val="2"/>
      <scheme val="minor"/>
    </font>
    <font>
      <i/>
      <sz val="8"/>
      <color theme="1"/>
      <name val="Calibri"/>
      <family val="2"/>
      <scheme val="minor"/>
    </font>
    <font>
      <i/>
      <sz val="11"/>
      <color rgb="FFFF0000"/>
      <name val="Calibri"/>
      <family val="2"/>
      <scheme val="minor"/>
    </font>
    <font>
      <sz val="6"/>
      <color theme="1"/>
      <name val="Calibri"/>
      <family val="2"/>
      <scheme val="minor"/>
    </font>
    <font>
      <sz val="11"/>
      <color rgb="FF7030A0"/>
      <name val="Calibri"/>
      <family val="2"/>
      <scheme val="minor"/>
    </font>
    <font>
      <b/>
      <sz val="9"/>
      <color indexed="81"/>
      <name val="Tahoma"/>
      <family val="2"/>
    </font>
    <font>
      <sz val="9"/>
      <color indexed="81"/>
      <name val="Tahoma"/>
      <family val="2"/>
    </font>
  </fonts>
  <fills count="25">
    <fill>
      <patternFill patternType="none"/>
    </fill>
    <fill>
      <patternFill patternType="gray125"/>
    </fill>
    <fill>
      <patternFill patternType="solid">
        <fgColor rgb="FFC4BC96"/>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C7CE"/>
      </patternFill>
    </fill>
    <fill>
      <patternFill patternType="solid">
        <fgColor rgb="FF00B0F0"/>
        <bgColor indexed="64"/>
      </patternFill>
    </fill>
    <fill>
      <patternFill patternType="solid">
        <fgColor theme="4" tint="0.79998168889431442"/>
        <bgColor indexed="64"/>
      </patternFill>
    </fill>
    <fill>
      <patternFill patternType="solid">
        <fgColor rgb="FF99FF99"/>
        <bgColor indexed="64"/>
      </patternFill>
    </fill>
    <fill>
      <patternFill patternType="solid">
        <fgColor rgb="FF92D050"/>
        <bgColor indexed="64"/>
      </patternFill>
    </fill>
    <fill>
      <patternFill patternType="solid">
        <fgColor rgb="FFCCFFCC"/>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0000"/>
        <bgColor indexed="64"/>
      </patternFill>
    </fill>
    <fill>
      <patternFill patternType="solid">
        <fgColor theme="5" tint="0.39997558519241921"/>
        <bgColor indexed="64"/>
      </patternFill>
    </fill>
    <fill>
      <patternFill patternType="solid">
        <fgColor rgb="FF7030A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rgb="FFFFC000"/>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right/>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style="medium">
        <color theme="9" tint="-0.249977111117893"/>
      </right>
      <top style="medium">
        <color theme="9" tint="-0.249977111117893"/>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6" borderId="0" applyNumberFormat="0" applyBorder="0" applyAlignment="0" applyProtection="0"/>
    <xf numFmtId="0" fontId="41" fillId="0" borderId="0"/>
    <xf numFmtId="9" fontId="41" fillId="0" borderId="0" applyFont="0" applyFill="0" applyBorder="0" applyAlignment="0" applyProtection="0"/>
  </cellStyleXfs>
  <cellXfs count="859">
    <xf numFmtId="0" fontId="0" fillId="0" borderId="0" xfId="0"/>
    <xf numFmtId="0" fontId="2" fillId="0" borderId="0" xfId="0" applyFont="1"/>
    <xf numFmtId="0" fontId="5" fillId="2" borderId="1" xfId="0" applyFont="1" applyFill="1" applyBorder="1" applyAlignment="1">
      <alignment vertical="center"/>
    </xf>
    <xf numFmtId="0" fontId="5" fillId="2" borderId="6" xfId="0" applyFont="1" applyFill="1" applyBorder="1" applyAlignment="1">
      <alignment vertical="center"/>
    </xf>
    <xf numFmtId="0" fontId="5" fillId="0" borderId="8" xfId="0" applyFont="1" applyBorder="1" applyAlignment="1">
      <alignment vertical="center" wrapText="1"/>
    </xf>
    <xf numFmtId="0" fontId="5" fillId="2" borderId="8" xfId="0" applyFont="1" applyFill="1" applyBorder="1" applyAlignment="1">
      <alignment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vertical="center" wrapText="1"/>
    </xf>
    <xf numFmtId="0" fontId="5" fillId="2" borderId="8" xfId="0" applyFont="1" applyFill="1" applyBorder="1" applyAlignment="1">
      <alignment vertical="center" wrapText="1"/>
    </xf>
    <xf numFmtId="0" fontId="8" fillId="0" borderId="8" xfId="0" applyFont="1" applyBorder="1" applyAlignment="1">
      <alignment horizontal="center" vertical="center" wrapText="1"/>
    </xf>
    <xf numFmtId="14" fontId="5" fillId="0" borderId="8" xfId="0" applyNumberFormat="1" applyFont="1" applyBorder="1" applyAlignment="1">
      <alignment horizontal="right" vertical="center"/>
    </xf>
    <xf numFmtId="0" fontId="5" fillId="0" borderId="8" xfId="0" applyFont="1" applyBorder="1" applyAlignment="1">
      <alignment vertical="center"/>
    </xf>
    <xf numFmtId="0" fontId="4" fillId="0" borderId="8" xfId="0" applyFont="1" applyBorder="1" applyAlignment="1">
      <alignment vertical="center"/>
    </xf>
    <xf numFmtId="9" fontId="0" fillId="0" borderId="0" xfId="2" applyFont="1"/>
    <xf numFmtId="9" fontId="5" fillId="0" borderId="8" xfId="2" applyFont="1" applyBorder="1" applyAlignment="1">
      <alignment horizontal="center" vertical="center" wrapText="1"/>
    </xf>
    <xf numFmtId="43" fontId="5" fillId="0" borderId="8" xfId="1" applyFont="1" applyBorder="1" applyAlignment="1">
      <alignment horizontal="center" vertical="center" wrapText="1"/>
    </xf>
    <xf numFmtId="0" fontId="10" fillId="0" borderId="0" xfId="0" applyFont="1"/>
    <xf numFmtId="0" fontId="8" fillId="0" borderId="0" xfId="0" applyFont="1"/>
    <xf numFmtId="0" fontId="5" fillId="0" borderId="0"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vertical="center"/>
    </xf>
    <xf numFmtId="43" fontId="5" fillId="0" borderId="0" xfId="1" applyFont="1"/>
    <xf numFmtId="0" fontId="8" fillId="0" borderId="0" xfId="0" applyFont="1" applyFill="1" applyBorder="1"/>
    <xf numFmtId="43" fontId="5" fillId="0" borderId="17" xfId="1" applyFont="1" applyBorder="1"/>
    <xf numFmtId="0" fontId="12" fillId="0" borderId="0" xfId="0" applyFont="1"/>
    <xf numFmtId="164" fontId="5" fillId="0" borderId="8" xfId="2" applyNumberFormat="1" applyFont="1" applyBorder="1" applyAlignment="1">
      <alignment horizontal="center" vertical="center" wrapText="1"/>
    </xf>
    <xf numFmtId="164" fontId="0" fillId="0" borderId="0" xfId="2" applyNumberFormat="1" applyFont="1"/>
    <xf numFmtId="9" fontId="5" fillId="0" borderId="0" xfId="2" applyFont="1"/>
    <xf numFmtId="0" fontId="5" fillId="0" borderId="0" xfId="0" applyFont="1"/>
    <xf numFmtId="43" fontId="5" fillId="0" borderId="0" xfId="0" applyNumberFormat="1" applyFont="1"/>
    <xf numFmtId="0" fontId="9"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0" fillId="0" borderId="0" xfId="0" applyAlignment="1">
      <alignment wrapText="1"/>
    </xf>
    <xf numFmtId="0" fontId="6" fillId="0" borderId="0" xfId="0" applyFont="1" applyBorder="1" applyAlignment="1">
      <alignment horizontal="center" vertical="center" wrapText="1"/>
    </xf>
    <xf numFmtId="0" fontId="5" fillId="0" borderId="0" xfId="0" applyFont="1" applyBorder="1" applyAlignment="1">
      <alignment vertical="center" wrapText="1"/>
    </xf>
    <xf numFmtId="43" fontId="5" fillId="0" borderId="0" xfId="1" applyFont="1" applyFill="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wrapText="1"/>
    </xf>
    <xf numFmtId="43" fontId="5" fillId="0" borderId="0" xfId="1" applyFont="1" applyFill="1" applyBorder="1"/>
    <xf numFmtId="9" fontId="5" fillId="0" borderId="8" xfId="2" applyNumberFormat="1" applyFont="1" applyBorder="1" applyAlignment="1">
      <alignment horizontal="center" vertic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43" fontId="5" fillId="0" borderId="22" xfId="1" applyFont="1" applyBorder="1"/>
    <xf numFmtId="43" fontId="5" fillId="0" borderId="0" xfId="1" applyFont="1" applyBorder="1"/>
    <xf numFmtId="9" fontId="5" fillId="0" borderId="23" xfId="2" applyFont="1" applyBorder="1"/>
    <xf numFmtId="0" fontId="5" fillId="0" borderId="23" xfId="0" applyFont="1" applyBorder="1"/>
    <xf numFmtId="0" fontId="5" fillId="0" borderId="24" xfId="0" applyFont="1" applyBorder="1"/>
    <xf numFmtId="0" fontId="5" fillId="0" borderId="25" xfId="0" applyFont="1" applyBorder="1"/>
    <xf numFmtId="0" fontId="5" fillId="0" borderId="26" xfId="0" applyFont="1" applyBorder="1"/>
    <xf numFmtId="43" fontId="13" fillId="0" borderId="0" xfId="0" applyNumberFormat="1" applyFont="1"/>
    <xf numFmtId="10" fontId="0" fillId="0" borderId="0" xfId="2" applyNumberFormat="1" applyFont="1"/>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wrapText="1"/>
    </xf>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0" fillId="0" borderId="0" xfId="0" applyAlignment="1">
      <alignment wrapText="1"/>
    </xf>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horizontal="center"/>
    </xf>
    <xf numFmtId="0" fontId="15" fillId="0" borderId="0" xfId="0" applyFont="1" applyAlignment="1">
      <alignment horizont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16" xfId="0" applyFont="1" applyFill="1" applyBorder="1" applyAlignment="1">
      <alignment vertical="center"/>
    </xf>
    <xf numFmtId="0" fontId="5" fillId="2" borderId="9" xfId="0" applyFont="1" applyFill="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center" vertical="center"/>
    </xf>
    <xf numFmtId="0" fontId="5" fillId="2" borderId="16" xfId="0" applyFont="1" applyFill="1" applyBorder="1" applyAlignment="1">
      <alignment vertical="center" wrapText="1"/>
    </xf>
    <xf numFmtId="0" fontId="5" fillId="2" borderId="9" xfId="0" applyFont="1" applyFill="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0" fillId="0" borderId="0" xfId="0" applyAlignment="1">
      <alignment horizontal="center"/>
    </xf>
    <xf numFmtId="0" fontId="5" fillId="2" borderId="14" xfId="0" applyFont="1" applyFill="1" applyBorder="1" applyAlignment="1">
      <alignment vertical="center"/>
    </xf>
    <xf numFmtId="0" fontId="5" fillId="2" borderId="15" xfId="0" applyFont="1" applyFill="1" applyBorder="1" applyAlignment="1">
      <alignment vertical="center"/>
    </xf>
    <xf numFmtId="0" fontId="5" fillId="0" borderId="0" xfId="0"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2" borderId="2" xfId="0" applyFont="1" applyFill="1" applyBorder="1" applyAlignment="1">
      <alignment vertical="center"/>
    </xf>
    <xf numFmtId="0" fontId="5" fillId="2" borderId="4" xfId="0" applyFont="1" applyFill="1" applyBorder="1" applyAlignment="1">
      <alignment vertical="center"/>
    </xf>
    <xf numFmtId="0" fontId="2" fillId="0" borderId="7" xfId="0" applyFont="1" applyBorder="1"/>
    <xf numFmtId="0" fontId="11" fillId="0" borderId="0" xfId="0" applyFont="1" applyAlignment="1">
      <alignment wrapText="1"/>
    </xf>
    <xf numFmtId="0" fontId="0" fillId="0" borderId="0" xfId="0" applyAlignment="1">
      <alignment wrapText="1"/>
    </xf>
    <xf numFmtId="0" fontId="0" fillId="0" borderId="18" xfId="0" applyBorder="1" applyAlignment="1">
      <alignment horizont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4" borderId="0" xfId="0" applyFont="1" applyFill="1" applyBorder="1" applyAlignment="1">
      <alignment horizontal="center" vertical="center"/>
    </xf>
    <xf numFmtId="0" fontId="5" fillId="5" borderId="0" xfId="0" applyFont="1" applyFill="1" applyBorder="1" applyAlignment="1">
      <alignment horizontal="center" vertical="center"/>
    </xf>
    <xf numFmtId="0" fontId="8" fillId="0" borderId="0" xfId="0" applyFont="1" applyAlignment="1">
      <alignment horizontal="left"/>
    </xf>
    <xf numFmtId="0" fontId="18" fillId="0" borderId="0" xfId="0" applyFont="1" applyAlignment="1">
      <alignment horizontal="center"/>
    </xf>
    <xf numFmtId="0" fontId="19" fillId="0" borderId="0" xfId="0" applyFont="1" applyAlignment="1">
      <alignment horizontal="center"/>
    </xf>
    <xf numFmtId="0" fontId="20" fillId="0" borderId="27" xfId="0" applyFont="1" applyBorder="1" applyAlignment="1">
      <alignment horizontal="righ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28" xfId="0" applyFont="1" applyBorder="1" applyAlignment="1">
      <alignment horizontal="left" vertical="center"/>
    </xf>
    <xf numFmtId="0" fontId="21" fillId="0" borderId="30" xfId="0" applyFont="1" applyBorder="1" applyAlignment="1">
      <alignment horizontal="left" vertical="center"/>
    </xf>
    <xf numFmtId="0" fontId="21" fillId="0" borderId="29" xfId="0" applyFont="1" applyBorder="1" applyAlignment="1">
      <alignment horizontal="left" vertical="center"/>
    </xf>
    <xf numFmtId="0" fontId="20" fillId="0" borderId="27" xfId="0" applyFont="1" applyBorder="1" applyAlignment="1">
      <alignment horizontal="right" vertical="center" wrapText="1"/>
    </xf>
    <xf numFmtId="0" fontId="21"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2" fillId="0" borderId="0" xfId="0" applyFont="1" applyAlignment="1">
      <alignment horizontal="center"/>
    </xf>
    <xf numFmtId="0" fontId="22" fillId="0" borderId="27" xfId="0" applyFont="1" applyBorder="1" applyAlignment="1">
      <alignment horizontal="center"/>
    </xf>
    <xf numFmtId="0" fontId="20" fillId="0" borderId="27" xfId="0" applyFont="1" applyBorder="1" applyAlignment="1">
      <alignment horizontal="center"/>
    </xf>
    <xf numFmtId="0" fontId="20" fillId="0" borderId="28" xfId="0" applyFont="1" applyBorder="1" applyAlignment="1">
      <alignment horizontal="center"/>
    </xf>
    <xf numFmtId="0" fontId="20" fillId="0" borderId="30" xfId="0" applyFont="1" applyBorder="1" applyAlignment="1">
      <alignment horizontal="center"/>
    </xf>
    <xf numFmtId="0" fontId="20" fillId="0" borderId="29" xfId="0" applyFont="1" applyBorder="1" applyAlignment="1">
      <alignment horizontal="center"/>
    </xf>
    <xf numFmtId="0" fontId="23" fillId="0" borderId="27" xfId="0" applyFont="1" applyBorder="1"/>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3" fillId="0" borderId="27" xfId="0" applyFont="1" applyBorder="1" applyAlignment="1">
      <alignment vertical="center"/>
    </xf>
    <xf numFmtId="0" fontId="21" fillId="0" borderId="34" xfId="0" applyFont="1" applyBorder="1" applyAlignment="1">
      <alignment horizontal="left" vertical="center" indent="1"/>
    </xf>
    <xf numFmtId="0" fontId="21" fillId="0" borderId="35" xfId="0" applyFont="1" applyBorder="1" applyAlignment="1">
      <alignment horizontal="left" vertical="center" indent="1"/>
    </xf>
    <xf numFmtId="0" fontId="21" fillId="0" borderId="36" xfId="0" applyFont="1" applyBorder="1" applyAlignment="1">
      <alignment horizontal="left" vertical="center" indent="1"/>
    </xf>
    <xf numFmtId="0" fontId="21" fillId="0" borderId="30" xfId="0" applyFont="1" applyBorder="1" applyAlignment="1">
      <alignment horizontal="left" vertical="center" wrapText="1"/>
    </xf>
    <xf numFmtId="0" fontId="21" fillId="0" borderId="37" xfId="0" applyFont="1" applyBorder="1" applyAlignment="1">
      <alignment horizontal="left" vertical="center" indent="1"/>
    </xf>
    <xf numFmtId="0" fontId="21" fillId="0" borderId="0" xfId="0" applyFont="1" applyBorder="1" applyAlignment="1">
      <alignment horizontal="left" vertical="center" indent="1"/>
    </xf>
    <xf numFmtId="0" fontId="21" fillId="0" borderId="38" xfId="0" applyFont="1" applyBorder="1" applyAlignment="1">
      <alignment horizontal="left" vertical="center" indent="1"/>
    </xf>
    <xf numFmtId="0" fontId="21" fillId="0" borderId="31" xfId="0" applyFont="1" applyBorder="1" applyAlignment="1">
      <alignment horizontal="left" vertical="center" wrapText="1" indent="1"/>
    </xf>
    <xf numFmtId="0" fontId="21" fillId="0" borderId="32" xfId="0" applyFont="1" applyBorder="1" applyAlignment="1">
      <alignment horizontal="left" vertical="center" wrapText="1" indent="1"/>
    </xf>
    <xf numFmtId="0" fontId="21" fillId="0" borderId="33" xfId="0" applyFont="1" applyBorder="1" applyAlignment="1">
      <alignment horizontal="left" vertical="center" wrapText="1" indent="1"/>
    </xf>
    <xf numFmtId="0" fontId="0" fillId="3" borderId="0" xfId="0" applyFill="1" applyAlignment="1">
      <alignment wrapText="1"/>
    </xf>
    <xf numFmtId="0" fontId="0" fillId="3" borderId="0" xfId="0" applyFill="1"/>
    <xf numFmtId="0" fontId="0" fillId="0" borderId="0" xfId="0" applyFill="1"/>
    <xf numFmtId="0" fontId="23" fillId="0" borderId="39" xfId="0" applyFont="1" applyBorder="1"/>
    <xf numFmtId="0" fontId="21" fillId="0" borderId="31" xfId="0" applyFont="1" applyBorder="1" applyAlignment="1">
      <alignment horizontal="center"/>
    </xf>
    <xf numFmtId="0" fontId="21" fillId="0" borderId="33" xfId="0" applyFont="1" applyBorder="1" applyAlignment="1">
      <alignment horizontal="center"/>
    </xf>
    <xf numFmtId="0" fontId="21" fillId="0" borderId="28" xfId="0" applyFont="1" applyBorder="1" applyAlignment="1">
      <alignment horizontal="center"/>
    </xf>
    <xf numFmtId="0" fontId="21" fillId="0" borderId="30" xfId="0" applyFont="1" applyBorder="1" applyAlignment="1">
      <alignment horizontal="center"/>
    </xf>
    <xf numFmtId="0" fontId="21" fillId="0" borderId="29" xfId="0" applyFont="1" applyBorder="1" applyAlignment="1">
      <alignment horizontal="center"/>
    </xf>
    <xf numFmtId="0" fontId="23" fillId="0" borderId="28" xfId="0" applyFont="1" applyBorder="1" applyAlignment="1">
      <alignment horizontal="center"/>
    </xf>
    <xf numFmtId="0" fontId="23" fillId="0" borderId="29" xfId="0" applyFont="1" applyBorder="1" applyAlignment="1">
      <alignment horizontal="center"/>
    </xf>
    <xf numFmtId="0" fontId="21" fillId="0" borderId="32" xfId="0" applyFont="1" applyBorder="1" applyAlignment="1">
      <alignment horizontal="center"/>
    </xf>
    <xf numFmtId="0" fontId="20" fillId="0" borderId="3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34" xfId="0" applyFont="1" applyBorder="1" applyAlignment="1">
      <alignment horizontal="center" vertical="center" wrapText="1"/>
    </xf>
    <xf numFmtId="0" fontId="20" fillId="0" borderId="36" xfId="0" applyFont="1" applyBorder="1" applyAlignment="1">
      <alignment horizontal="center" vertical="center" wrapText="1"/>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1" fillId="0" borderId="40"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6"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3" xfId="0" applyFont="1" applyBorder="1" applyAlignment="1">
      <alignment horizontal="center" vertical="center" wrapText="1"/>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1" fillId="0" borderId="34" xfId="0" applyFont="1" applyBorder="1" applyAlignment="1">
      <alignment horizontal="center" vertical="center"/>
    </xf>
    <xf numFmtId="0" fontId="21" fillId="0" borderId="36" xfId="0" quotePrefix="1" applyFont="1" applyBorder="1" applyAlignment="1">
      <alignment vertical="center"/>
    </xf>
    <xf numFmtId="0" fontId="21" fillId="0" borderId="41"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40" xfId="0" applyFont="1" applyBorder="1" applyAlignment="1">
      <alignment horizontal="center" vertical="center"/>
    </xf>
    <xf numFmtId="0" fontId="12" fillId="0" borderId="40"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34" xfId="0" applyFont="1" applyBorder="1" applyAlignment="1">
      <alignment horizontal="center" vertical="center"/>
    </xf>
    <xf numFmtId="0" fontId="21" fillId="0" borderId="37" xfId="0" applyFont="1" applyBorder="1" applyAlignment="1">
      <alignment horizontal="center" vertical="center"/>
    </xf>
    <xf numFmtId="0" fontId="23" fillId="0" borderId="38" xfId="0" quotePrefix="1" applyFont="1" applyBorder="1" applyAlignment="1">
      <alignment vertical="center"/>
    </xf>
    <xf numFmtId="0" fontId="21" fillId="0" borderId="37"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Border="1" applyAlignment="1">
      <alignment horizontal="center" vertical="center"/>
    </xf>
    <xf numFmtId="0" fontId="8" fillId="0" borderId="0" xfId="0" applyFont="1" applyAlignment="1">
      <alignment horizontal="center"/>
    </xf>
    <xf numFmtId="0" fontId="21" fillId="0" borderId="39"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9" xfId="0" applyFont="1" applyBorder="1" applyAlignment="1">
      <alignment horizontal="center" vertical="center"/>
    </xf>
    <xf numFmtId="0" fontId="12" fillId="0" borderId="39"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31" xfId="0" applyFont="1" applyBorder="1" applyAlignment="1">
      <alignment horizontal="center" vertical="center"/>
    </xf>
    <xf numFmtId="0" fontId="21" fillId="0" borderId="31" xfId="0" applyFont="1" applyBorder="1" applyAlignment="1">
      <alignment horizontal="center" vertical="center"/>
    </xf>
    <xf numFmtId="0" fontId="23" fillId="0" borderId="33" xfId="0" quotePrefix="1" applyFont="1" applyBorder="1" applyAlignment="1">
      <alignment vertical="center"/>
    </xf>
    <xf numFmtId="0" fontId="23" fillId="0" borderId="40" xfId="0" applyFont="1" applyBorder="1" applyAlignment="1">
      <alignment horizontal="left" vertical="center"/>
    </xf>
    <xf numFmtId="0" fontId="21" fillId="0" borderId="40" xfId="0" applyFont="1" applyBorder="1" applyAlignment="1">
      <alignment horizontal="left" vertical="center" wrapText="1"/>
    </xf>
    <xf numFmtId="0" fontId="21" fillId="0" borderId="39" xfId="0" applyFont="1" applyBorder="1" applyAlignment="1">
      <alignmen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7" xfId="0" applyFont="1" applyBorder="1" applyAlignment="1">
      <alignment vertical="center"/>
    </xf>
    <xf numFmtId="0" fontId="23" fillId="0" borderId="27" xfId="0" applyFont="1" applyBorder="1" applyAlignment="1">
      <alignment horizontal="center" vertical="center"/>
    </xf>
    <xf numFmtId="0" fontId="12" fillId="0" borderId="27" xfId="0" applyFont="1" applyBorder="1" applyAlignment="1">
      <alignment horizontal="center" vertical="center"/>
    </xf>
    <xf numFmtId="1" fontId="21" fillId="0" borderId="27" xfId="0" applyNumberFormat="1" applyFont="1" applyBorder="1" applyAlignment="1">
      <alignment vertical="center"/>
    </xf>
    <xf numFmtId="2" fontId="21" fillId="0" borderId="27" xfId="0" applyNumberFormat="1" applyFont="1" applyBorder="1" applyAlignment="1">
      <alignment vertical="center"/>
    </xf>
    <xf numFmtId="0" fontId="25" fillId="0" borderId="28" xfId="0" applyFont="1" applyBorder="1" applyAlignment="1">
      <alignment horizontal="center" vertical="center"/>
    </xf>
    <xf numFmtId="9" fontId="23" fillId="0" borderId="29" xfId="2" applyFont="1" applyBorder="1" applyAlignment="1">
      <alignment vertical="center"/>
    </xf>
    <xf numFmtId="0" fontId="0" fillId="0" borderId="0" xfId="0" applyAlignment="1">
      <alignment vertical="center"/>
    </xf>
    <xf numFmtId="2" fontId="0" fillId="0" borderId="0" xfId="0" applyNumberFormat="1" applyAlignment="1">
      <alignment vertical="center"/>
    </xf>
    <xf numFmtId="0" fontId="16" fillId="6" borderId="0" xfId="3" applyAlignment="1">
      <alignment vertical="center"/>
    </xf>
    <xf numFmtId="0" fontId="23" fillId="0" borderId="39" xfId="0" applyFont="1" applyBorder="1" applyAlignment="1">
      <alignment horizontal="left" vertical="center"/>
    </xf>
    <xf numFmtId="0" fontId="21" fillId="0" borderId="39" xfId="0" applyFont="1" applyBorder="1" applyAlignment="1">
      <alignment horizontal="left" vertical="center" wrapText="1"/>
    </xf>
    <xf numFmtId="1" fontId="23" fillId="0" borderId="27" xfId="0" applyNumberFormat="1" applyFont="1" applyBorder="1" applyAlignment="1">
      <alignment vertical="center"/>
    </xf>
    <xf numFmtId="2" fontId="23" fillId="0" borderId="27" xfId="0" applyNumberFormat="1" applyFont="1" applyBorder="1" applyAlignment="1">
      <alignmen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40" xfId="0" applyFont="1" applyBorder="1" applyAlignment="1">
      <alignment horizontal="left" vertical="center"/>
    </xf>
    <xf numFmtId="9" fontId="23" fillId="0" borderId="27" xfId="0" applyNumberFormat="1" applyFont="1" applyBorder="1" applyAlignment="1">
      <alignment horizontal="center" vertical="center"/>
    </xf>
    <xf numFmtId="1" fontId="23" fillId="0" borderId="40" xfId="0" applyNumberFormat="1" applyFont="1" applyBorder="1" applyAlignment="1">
      <alignment horizontal="center" vertical="center"/>
    </xf>
    <xf numFmtId="164" fontId="23" fillId="0" borderId="40" xfId="2" applyNumberFormat="1" applyFont="1" applyBorder="1" applyAlignment="1">
      <alignment horizontal="center" vertical="center"/>
    </xf>
    <xf numFmtId="0" fontId="26" fillId="0" borderId="34" xfId="0" applyFont="1" applyBorder="1" applyAlignment="1">
      <alignment horizontal="center" vertical="center"/>
    </xf>
    <xf numFmtId="9" fontId="23" fillId="0" borderId="36" xfId="2" applyFont="1" applyBorder="1" applyAlignment="1">
      <alignment horizontal="center" vertical="center"/>
    </xf>
    <xf numFmtId="164" fontId="0" fillId="0" borderId="0" xfId="2" applyNumberFormat="1" applyFont="1" applyAlignment="1">
      <alignment vertical="center"/>
    </xf>
    <xf numFmtId="1" fontId="10" fillId="0" borderId="0" xfId="2" applyNumberFormat="1" applyFont="1" applyAlignment="1">
      <alignment vertical="center"/>
    </xf>
    <xf numFmtId="165" fontId="0" fillId="7" borderId="0" xfId="0" applyNumberFormat="1" applyFill="1" applyAlignment="1">
      <alignment vertical="center"/>
    </xf>
    <xf numFmtId="1" fontId="0" fillId="0" borderId="0" xfId="0" applyNumberFormat="1" applyAlignment="1">
      <alignment vertical="center"/>
    </xf>
    <xf numFmtId="0" fontId="23" fillId="0" borderId="41" xfId="0" applyFont="1" applyBorder="1" applyAlignment="1">
      <alignment horizontal="left" vertical="center"/>
    </xf>
    <xf numFmtId="0" fontId="21" fillId="0" borderId="41"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41" xfId="0" applyFont="1" applyBorder="1" applyAlignment="1">
      <alignment horizontal="left" vertical="center"/>
    </xf>
    <xf numFmtId="1" fontId="23" fillId="0" borderId="27" xfId="0" applyNumberFormat="1" applyFont="1" applyBorder="1" applyAlignment="1">
      <alignment horizontal="center" vertical="center"/>
    </xf>
    <xf numFmtId="1" fontId="23" fillId="0" borderId="41" xfId="0" applyNumberFormat="1" applyFont="1" applyBorder="1" applyAlignment="1">
      <alignment horizontal="center" vertical="center"/>
    </xf>
    <xf numFmtId="164" fontId="23" fillId="0" borderId="41" xfId="2" applyNumberFormat="1" applyFont="1" applyBorder="1" applyAlignment="1">
      <alignment horizontal="center" vertical="center"/>
    </xf>
    <xf numFmtId="0" fontId="26" fillId="0" borderId="37" xfId="0" applyFont="1" applyBorder="1" applyAlignment="1">
      <alignment horizontal="center" vertical="center"/>
    </xf>
    <xf numFmtId="9" fontId="23" fillId="0" borderId="38" xfId="2" applyFont="1" applyBorder="1" applyAlignment="1">
      <alignment horizontal="center" vertical="center"/>
    </xf>
    <xf numFmtId="0" fontId="21" fillId="0" borderId="39" xfId="0" applyFont="1" applyBorder="1" applyAlignment="1">
      <alignment horizontal="left" vertical="center"/>
    </xf>
    <xf numFmtId="164" fontId="23" fillId="0" borderId="27" xfId="0" applyNumberFormat="1" applyFont="1" applyBorder="1" applyAlignment="1">
      <alignment horizontal="center" vertical="center"/>
    </xf>
    <xf numFmtId="1" fontId="23" fillId="0" borderId="39" xfId="0" applyNumberFormat="1" applyFont="1" applyBorder="1" applyAlignment="1">
      <alignment horizontal="center" vertical="center"/>
    </xf>
    <xf numFmtId="164" fontId="23" fillId="0" borderId="39" xfId="2" applyNumberFormat="1" applyFont="1" applyBorder="1" applyAlignment="1">
      <alignment horizontal="center" vertical="center"/>
    </xf>
    <xf numFmtId="0" fontId="26" fillId="0" borderId="31" xfId="0" applyFont="1" applyBorder="1" applyAlignment="1">
      <alignment horizontal="center" vertical="center"/>
    </xf>
    <xf numFmtId="9" fontId="23" fillId="0" borderId="33" xfId="2" applyFont="1" applyBorder="1" applyAlignment="1">
      <alignment horizontal="center" vertical="center"/>
    </xf>
    <xf numFmtId="0" fontId="15" fillId="8" borderId="38" xfId="0" applyFont="1" applyFill="1" applyBorder="1" applyAlignment="1">
      <alignment horizontal="center" vertical="center" textRotation="255"/>
    </xf>
    <xf numFmtId="0" fontId="23" fillId="8" borderId="40" xfId="0" applyFont="1" applyFill="1" applyBorder="1" applyAlignment="1">
      <alignment horizontal="center" vertical="center" wrapText="1"/>
    </xf>
    <xf numFmtId="0" fontId="21" fillId="8" borderId="40" xfId="0" applyFont="1" applyFill="1" applyBorder="1" applyAlignment="1">
      <alignment horizontal="left" vertical="center" wrapText="1"/>
    </xf>
    <xf numFmtId="0" fontId="21" fillId="8" borderId="34" xfId="0" applyFont="1" applyFill="1" applyBorder="1" applyAlignment="1">
      <alignment horizontal="left" vertical="center" wrapText="1"/>
    </xf>
    <xf numFmtId="0" fontId="21" fillId="8" borderId="36" xfId="0" applyFont="1" applyFill="1" applyBorder="1" applyAlignment="1">
      <alignment horizontal="left" vertical="center" wrapText="1"/>
    </xf>
    <xf numFmtId="0" fontId="21" fillId="8" borderId="34" xfId="0" applyFont="1" applyFill="1" applyBorder="1" applyAlignment="1">
      <alignment horizontal="center" vertical="center" wrapText="1"/>
    </xf>
    <xf numFmtId="0" fontId="21" fillId="8" borderId="36" xfId="0" applyFont="1" applyFill="1" applyBorder="1" applyAlignment="1">
      <alignment horizontal="center" vertical="center" wrapText="1"/>
    </xf>
    <xf numFmtId="0" fontId="21" fillId="8" borderId="40" xfId="0" applyFont="1" applyFill="1" applyBorder="1" applyAlignment="1">
      <alignment horizontal="left" vertical="center"/>
    </xf>
    <xf numFmtId="0" fontId="23" fillId="8" borderId="40" xfId="0" applyFont="1" applyFill="1" applyBorder="1" applyAlignment="1">
      <alignment vertical="center"/>
    </xf>
    <xf numFmtId="9" fontId="20" fillId="8" borderId="27" xfId="0" applyNumberFormat="1" applyFont="1" applyFill="1" applyBorder="1" applyAlignment="1">
      <alignment horizontal="center" vertical="center"/>
    </xf>
    <xf numFmtId="9" fontId="23" fillId="8" borderId="27" xfId="2" applyFont="1" applyFill="1" applyBorder="1" applyAlignment="1">
      <alignment horizontal="center" vertical="center"/>
    </xf>
    <xf numFmtId="9" fontId="12" fillId="8" borderId="27" xfId="2" applyFont="1" applyFill="1" applyBorder="1" applyAlignment="1">
      <alignment horizontal="center" vertical="center"/>
    </xf>
    <xf numFmtId="1" fontId="23" fillId="8" borderId="40" xfId="0" applyNumberFormat="1" applyFont="1" applyFill="1" applyBorder="1" applyAlignment="1">
      <alignment horizontal="center" vertical="center"/>
    </xf>
    <xf numFmtId="164" fontId="23" fillId="8" borderId="40" xfId="2" applyNumberFormat="1" applyFont="1" applyFill="1" applyBorder="1" applyAlignment="1">
      <alignment horizontal="center" vertical="center"/>
    </xf>
    <xf numFmtId="0" fontId="26" fillId="8" borderId="34" xfId="0" applyFont="1" applyFill="1" applyBorder="1" applyAlignment="1">
      <alignment horizontal="left" vertical="center"/>
    </xf>
    <xf numFmtId="9" fontId="23" fillId="8" borderId="36" xfId="2" applyFont="1" applyFill="1" applyBorder="1" applyAlignment="1">
      <alignment horizontal="center" vertical="center"/>
    </xf>
    <xf numFmtId="0" fontId="0" fillId="9" borderId="0" xfId="0" applyFill="1" applyAlignment="1">
      <alignment vertical="center"/>
    </xf>
    <xf numFmtId="164" fontId="0" fillId="9" borderId="0" xfId="2" applyNumberFormat="1" applyFont="1" applyFill="1" applyAlignment="1">
      <alignment vertical="center"/>
    </xf>
    <xf numFmtId="0" fontId="0" fillId="7" borderId="0" xfId="0" applyFill="1" applyAlignment="1">
      <alignment vertical="center"/>
    </xf>
    <xf numFmtId="0" fontId="15" fillId="9" borderId="0" xfId="0" applyFont="1" applyFill="1" applyAlignment="1">
      <alignment vertical="center"/>
    </xf>
    <xf numFmtId="165" fontId="0" fillId="10" borderId="0" xfId="0" applyNumberFormat="1" applyFill="1" applyAlignment="1">
      <alignment vertical="center"/>
    </xf>
    <xf numFmtId="0" fontId="23" fillId="8" borderId="41" xfId="0" applyFont="1" applyFill="1" applyBorder="1" applyAlignment="1">
      <alignment horizontal="center" vertical="center" wrapText="1"/>
    </xf>
    <xf numFmtId="0" fontId="21" fillId="8" borderId="41" xfId="0" applyFont="1" applyFill="1" applyBorder="1" applyAlignment="1">
      <alignment horizontal="left" vertical="center" wrapText="1"/>
    </xf>
    <xf numFmtId="0" fontId="21" fillId="8" borderId="37" xfId="0" applyFont="1" applyFill="1" applyBorder="1" applyAlignment="1">
      <alignment horizontal="left" vertical="center" wrapText="1"/>
    </xf>
    <xf numFmtId="0" fontId="21" fillId="8" borderId="38" xfId="0" applyFont="1" applyFill="1" applyBorder="1" applyAlignment="1">
      <alignment horizontal="left" vertical="center" wrapText="1"/>
    </xf>
    <xf numFmtId="0" fontId="21" fillId="8" borderId="37" xfId="0" applyFont="1" applyFill="1" applyBorder="1" applyAlignment="1">
      <alignment horizontal="center" vertical="center" wrapText="1"/>
    </xf>
    <xf numFmtId="0" fontId="21" fillId="8" borderId="38" xfId="0" applyFont="1" applyFill="1" applyBorder="1" applyAlignment="1">
      <alignment horizontal="center" vertical="center" wrapText="1"/>
    </xf>
    <xf numFmtId="0" fontId="21" fillId="8" borderId="41" xfId="0" applyFont="1" applyFill="1" applyBorder="1" applyAlignment="1">
      <alignment horizontal="left" vertical="center"/>
    </xf>
    <xf numFmtId="0" fontId="23" fillId="8" borderId="27" xfId="0" applyFont="1" applyFill="1" applyBorder="1" applyAlignment="1">
      <alignment horizontal="center" vertical="center"/>
    </xf>
    <xf numFmtId="1" fontId="23" fillId="8" borderId="41" xfId="0" applyNumberFormat="1" applyFont="1" applyFill="1" applyBorder="1" applyAlignment="1">
      <alignment horizontal="center" vertical="center"/>
    </xf>
    <xf numFmtId="164" fontId="23" fillId="8" borderId="41" xfId="2" applyNumberFormat="1" applyFont="1" applyFill="1" applyBorder="1" applyAlignment="1">
      <alignment horizontal="center" vertical="center"/>
    </xf>
    <xf numFmtId="0" fontId="26" fillId="8" borderId="37" xfId="0" applyFont="1" applyFill="1" applyBorder="1" applyAlignment="1">
      <alignment horizontal="left" vertical="center"/>
    </xf>
    <xf numFmtId="9" fontId="23" fillId="8" borderId="38" xfId="2" applyFont="1" applyFill="1" applyBorder="1" applyAlignment="1">
      <alignment horizontal="center" vertical="center"/>
    </xf>
    <xf numFmtId="0" fontId="21" fillId="8" borderId="39" xfId="0" applyFont="1" applyFill="1" applyBorder="1" applyAlignment="1">
      <alignment horizontal="left" vertical="center" wrapText="1"/>
    </xf>
    <xf numFmtId="0" fontId="21" fillId="8" borderId="31" xfId="0" applyFont="1" applyFill="1" applyBorder="1" applyAlignment="1">
      <alignment horizontal="left" vertical="center" wrapText="1"/>
    </xf>
    <xf numFmtId="0" fontId="21" fillId="8" borderId="33" xfId="0" applyFont="1" applyFill="1" applyBorder="1" applyAlignment="1">
      <alignment horizontal="left" vertical="center" wrapText="1"/>
    </xf>
    <xf numFmtId="0" fontId="21" fillId="8" borderId="31" xfId="0" applyFont="1" applyFill="1" applyBorder="1" applyAlignment="1">
      <alignment horizontal="center" vertical="center" wrapText="1"/>
    </xf>
    <xf numFmtId="0" fontId="21" fillId="8" borderId="33" xfId="0" applyFont="1" applyFill="1" applyBorder="1" applyAlignment="1">
      <alignment horizontal="center" vertical="center" wrapText="1"/>
    </xf>
    <xf numFmtId="0" fontId="21" fillId="8" borderId="39" xfId="0" applyFont="1" applyFill="1" applyBorder="1" applyAlignment="1">
      <alignment horizontal="left" vertical="center"/>
    </xf>
    <xf numFmtId="164" fontId="23" fillId="8" borderId="27" xfId="0" applyNumberFormat="1" applyFont="1" applyFill="1" applyBorder="1" applyAlignment="1">
      <alignment horizontal="center" vertical="center"/>
    </xf>
    <xf numFmtId="1" fontId="23" fillId="8" borderId="39" xfId="0" applyNumberFormat="1" applyFont="1" applyFill="1" applyBorder="1" applyAlignment="1">
      <alignment horizontal="center" vertical="center"/>
    </xf>
    <xf numFmtId="164" fontId="23" fillId="8" borderId="39" xfId="2" applyNumberFormat="1" applyFont="1" applyFill="1" applyBorder="1" applyAlignment="1">
      <alignment horizontal="center" vertical="center"/>
    </xf>
    <xf numFmtId="0" fontId="26" fillId="8" borderId="31" xfId="0" applyFont="1" applyFill="1" applyBorder="1" applyAlignment="1">
      <alignment horizontal="left" vertical="center"/>
    </xf>
    <xf numFmtId="9" fontId="23" fillId="8" borderId="33" xfId="2" applyFont="1" applyFill="1" applyBorder="1" applyAlignment="1">
      <alignment horizontal="center" vertical="center"/>
    </xf>
    <xf numFmtId="0" fontId="23" fillId="8" borderId="27" xfId="0" applyFont="1" applyFill="1" applyBorder="1" applyAlignment="1">
      <alignment vertical="center"/>
    </xf>
    <xf numFmtId="9" fontId="23" fillId="8" borderId="27" xfId="0" applyNumberFormat="1" applyFont="1" applyFill="1" applyBorder="1" applyAlignment="1">
      <alignment horizontal="center" vertical="center"/>
    </xf>
    <xf numFmtId="0" fontId="28" fillId="8" borderId="34" xfId="0" applyFont="1" applyFill="1" applyBorder="1" applyAlignment="1">
      <alignment horizontal="center" vertical="center"/>
    </xf>
    <xf numFmtId="0" fontId="29" fillId="9" borderId="0" xfId="0" applyFont="1" applyFill="1" applyAlignment="1">
      <alignment horizontal="center" vertical="center"/>
    </xf>
    <xf numFmtId="0" fontId="30" fillId="9" borderId="0" xfId="0" applyFont="1" applyFill="1" applyAlignment="1">
      <alignment horizontal="center" vertical="center"/>
    </xf>
    <xf numFmtId="0" fontId="28" fillId="8" borderId="37" xfId="0" applyFont="1" applyFill="1" applyBorder="1" applyAlignment="1">
      <alignment horizontal="center" vertical="center"/>
    </xf>
    <xf numFmtId="164" fontId="12" fillId="8" borderId="27" xfId="0" applyNumberFormat="1" applyFont="1" applyFill="1" applyBorder="1" applyAlignment="1">
      <alignment horizontal="center" vertical="center"/>
    </xf>
    <xf numFmtId="0" fontId="28" fillId="8" borderId="31" xfId="0" applyFont="1" applyFill="1" applyBorder="1" applyAlignment="1">
      <alignment horizontal="center" vertical="center"/>
    </xf>
    <xf numFmtId="0" fontId="25" fillId="8" borderId="34" xfId="0" applyFont="1" applyFill="1" applyBorder="1" applyAlignment="1">
      <alignment horizontal="center" vertical="center"/>
    </xf>
    <xf numFmtId="166" fontId="0" fillId="0" borderId="0" xfId="0" applyNumberFormat="1" applyAlignment="1">
      <alignment vertical="center"/>
    </xf>
    <xf numFmtId="0" fontId="0" fillId="10" borderId="0" xfId="0" applyFill="1" applyAlignment="1">
      <alignment horizontal="center" vertical="center"/>
    </xf>
    <xf numFmtId="0" fontId="25" fillId="8" borderId="37" xfId="0" applyFont="1" applyFill="1" applyBorder="1" applyAlignment="1">
      <alignment horizontal="center" vertical="center"/>
    </xf>
    <xf numFmtId="166" fontId="0" fillId="9" borderId="0" xfId="0" applyNumberFormat="1" applyFill="1" applyAlignment="1">
      <alignment vertical="center"/>
    </xf>
    <xf numFmtId="165" fontId="0" fillId="0" borderId="0" xfId="0" applyNumberFormat="1"/>
    <xf numFmtId="0" fontId="23" fillId="8" borderId="39" xfId="0" applyFont="1" applyFill="1" applyBorder="1" applyAlignment="1">
      <alignment horizontal="center" vertical="center" wrapText="1"/>
    </xf>
    <xf numFmtId="0" fontId="25" fillId="8" borderId="31" xfId="0" applyFont="1" applyFill="1" applyBorder="1" applyAlignment="1">
      <alignment horizontal="center" vertical="center"/>
    </xf>
    <xf numFmtId="0" fontId="23" fillId="8" borderId="40" xfId="0" applyFont="1" applyFill="1" applyBorder="1" applyAlignment="1">
      <alignment horizontal="left" vertical="center"/>
    </xf>
    <xf numFmtId="0" fontId="15" fillId="7" borderId="0" xfId="0" applyFont="1" applyFill="1" applyAlignment="1">
      <alignment vertical="center"/>
    </xf>
    <xf numFmtId="166" fontId="0" fillId="10" borderId="0" xfId="0" applyNumberFormat="1" applyFill="1" applyAlignment="1">
      <alignment vertical="center"/>
    </xf>
    <xf numFmtId="0" fontId="23" fillId="8" borderId="41" xfId="0" applyFont="1" applyFill="1" applyBorder="1" applyAlignment="1">
      <alignment horizontal="left" vertical="center"/>
    </xf>
    <xf numFmtId="0" fontId="23" fillId="8" borderId="39" xfId="0" applyFont="1" applyFill="1" applyBorder="1" applyAlignment="1">
      <alignment horizontal="left" vertical="center"/>
    </xf>
    <xf numFmtId="9" fontId="23" fillId="8" borderId="40" xfId="2" applyFont="1" applyFill="1" applyBorder="1" applyAlignment="1">
      <alignment horizontal="center" vertical="center"/>
    </xf>
    <xf numFmtId="3" fontId="15" fillId="9" borderId="0" xfId="0" applyNumberFormat="1" applyFont="1" applyFill="1" applyAlignment="1">
      <alignment vertical="center"/>
    </xf>
    <xf numFmtId="167" fontId="0" fillId="0" borderId="0" xfId="2" applyNumberFormat="1" applyFont="1" applyAlignment="1">
      <alignment vertical="center"/>
    </xf>
    <xf numFmtId="9" fontId="23" fillId="8" borderId="41" xfId="2" applyFont="1" applyFill="1" applyBorder="1" applyAlignment="1">
      <alignment horizontal="center" vertical="center"/>
    </xf>
    <xf numFmtId="9" fontId="23" fillId="8" borderId="39" xfId="2" applyFont="1" applyFill="1" applyBorder="1" applyAlignment="1">
      <alignment horizontal="center" vertical="center"/>
    </xf>
    <xf numFmtId="164" fontId="23" fillId="8" borderId="27" xfId="2" applyNumberFormat="1" applyFont="1" applyFill="1" applyBorder="1" applyAlignment="1">
      <alignment horizontal="center" vertical="center"/>
    </xf>
    <xf numFmtId="0" fontId="23" fillId="11" borderId="27" xfId="0" applyFont="1" applyFill="1" applyBorder="1" applyAlignment="1">
      <alignment horizontal="center" vertical="center"/>
    </xf>
    <xf numFmtId="0" fontId="23" fillId="11" borderId="0" xfId="0" applyFont="1" applyFill="1" applyBorder="1" applyAlignment="1">
      <alignment horizontal="center" vertical="center"/>
    </xf>
    <xf numFmtId="4" fontId="0" fillId="9" borderId="0" xfId="0" applyNumberFormat="1" applyFill="1" applyAlignment="1">
      <alignment vertical="center"/>
    </xf>
    <xf numFmtId="0" fontId="15" fillId="8" borderId="38" xfId="0" applyFont="1" applyFill="1" applyBorder="1" applyAlignment="1">
      <alignment horizontal="center" vertical="center" textRotation="255"/>
    </xf>
    <xf numFmtId="0" fontId="15" fillId="12" borderId="38" xfId="0" applyFont="1" applyFill="1" applyBorder="1" applyAlignment="1">
      <alignment horizontal="center" vertical="center" textRotation="255"/>
    </xf>
    <xf numFmtId="0" fontId="23" fillId="12" borderId="40" xfId="0" applyFont="1" applyFill="1" applyBorder="1" applyAlignment="1">
      <alignment horizontal="center" vertical="center" wrapText="1"/>
    </xf>
    <xf numFmtId="0" fontId="21" fillId="12" borderId="40" xfId="0" applyFont="1" applyFill="1" applyBorder="1" applyAlignment="1">
      <alignment horizontal="left" vertical="center" wrapText="1"/>
    </xf>
    <xf numFmtId="0" fontId="21" fillId="12" borderId="34" xfId="0" applyFont="1" applyFill="1" applyBorder="1" applyAlignment="1">
      <alignment horizontal="left" vertical="center" wrapText="1"/>
    </xf>
    <xf numFmtId="0" fontId="21" fillId="12" borderId="36" xfId="0" applyFont="1" applyFill="1" applyBorder="1" applyAlignment="1">
      <alignment horizontal="left" vertical="center" wrapText="1"/>
    </xf>
    <xf numFmtId="0" fontId="21" fillId="12" borderId="34" xfId="0" applyFont="1" applyFill="1" applyBorder="1" applyAlignment="1">
      <alignment horizontal="center" vertical="center" wrapText="1"/>
    </xf>
    <xf numFmtId="0" fontId="21" fillId="12" borderId="36" xfId="0" applyFont="1" applyFill="1" applyBorder="1" applyAlignment="1">
      <alignment horizontal="center" vertical="center" wrapText="1"/>
    </xf>
    <xf numFmtId="0" fontId="21" fillId="12" borderId="40" xfId="0" applyFont="1" applyFill="1" applyBorder="1" applyAlignment="1">
      <alignment horizontal="left" vertical="center"/>
    </xf>
    <xf numFmtId="0" fontId="23" fillId="12" borderId="27" xfId="0" applyFont="1" applyFill="1" applyBorder="1" applyAlignment="1">
      <alignment vertical="center"/>
    </xf>
    <xf numFmtId="9" fontId="23" fillId="12" borderId="27" xfId="0" applyNumberFormat="1" applyFont="1" applyFill="1" applyBorder="1" applyAlignment="1">
      <alignment horizontal="center" vertical="center"/>
    </xf>
    <xf numFmtId="1" fontId="23" fillId="12" borderId="40" xfId="0" applyNumberFormat="1" applyFont="1" applyFill="1" applyBorder="1" applyAlignment="1">
      <alignment horizontal="center" vertical="center"/>
    </xf>
    <xf numFmtId="164" fontId="23" fillId="12" borderId="40" xfId="2" applyNumberFormat="1" applyFont="1" applyFill="1" applyBorder="1" applyAlignment="1">
      <alignment horizontal="center" vertical="center"/>
    </xf>
    <xf numFmtId="0" fontId="28" fillId="12" borderId="34" xfId="0" applyFont="1" applyFill="1" applyBorder="1" applyAlignment="1">
      <alignment horizontal="center" vertical="center"/>
    </xf>
    <xf numFmtId="9" fontId="23" fillId="12" borderId="36" xfId="2" applyFont="1" applyFill="1" applyBorder="1" applyAlignment="1">
      <alignment horizontal="center" vertical="center"/>
    </xf>
    <xf numFmtId="0" fontId="15" fillId="13" borderId="0" xfId="0" applyFont="1" applyFill="1" applyAlignment="1">
      <alignment vertical="center"/>
    </xf>
    <xf numFmtId="4" fontId="0" fillId="0" borderId="0" xfId="0" applyNumberFormat="1" applyAlignment="1">
      <alignment vertical="center"/>
    </xf>
    <xf numFmtId="1" fontId="15" fillId="9" borderId="0" xfId="0" applyNumberFormat="1" applyFont="1" applyFill="1" applyAlignment="1">
      <alignment horizontal="center" vertical="center"/>
    </xf>
    <xf numFmtId="0" fontId="23" fillId="12" borderId="41" xfId="0" applyFont="1" applyFill="1" applyBorder="1" applyAlignment="1">
      <alignment horizontal="center" vertical="center" wrapText="1"/>
    </xf>
    <xf numFmtId="0" fontId="21" fillId="12" borderId="41" xfId="0" applyFont="1" applyFill="1" applyBorder="1" applyAlignment="1">
      <alignment horizontal="left" vertical="center" wrapText="1"/>
    </xf>
    <xf numFmtId="0" fontId="21" fillId="12" borderId="37" xfId="0" applyFont="1" applyFill="1" applyBorder="1" applyAlignment="1">
      <alignment horizontal="left" vertical="center" wrapText="1"/>
    </xf>
    <xf numFmtId="0" fontId="21" fillId="12" borderId="38" xfId="0" applyFont="1" applyFill="1" applyBorder="1" applyAlignment="1">
      <alignment horizontal="left" vertical="center" wrapText="1"/>
    </xf>
    <xf numFmtId="0" fontId="21" fillId="12" borderId="37" xfId="0" applyFont="1" applyFill="1" applyBorder="1" applyAlignment="1">
      <alignment horizontal="center" vertical="center" wrapText="1"/>
    </xf>
    <xf numFmtId="0" fontId="21" fillId="12" borderId="38" xfId="0" applyFont="1" applyFill="1" applyBorder="1" applyAlignment="1">
      <alignment horizontal="center" vertical="center" wrapText="1"/>
    </xf>
    <xf numFmtId="0" fontId="21" fillId="12" borderId="41" xfId="0" applyFont="1" applyFill="1" applyBorder="1" applyAlignment="1">
      <alignment horizontal="left" vertical="center"/>
    </xf>
    <xf numFmtId="1" fontId="23" fillId="12" borderId="27" xfId="0" applyNumberFormat="1" applyFont="1" applyFill="1" applyBorder="1" applyAlignment="1">
      <alignment horizontal="center" vertical="center"/>
    </xf>
    <xf numFmtId="0" fontId="12" fillId="12" borderId="27" xfId="0" applyFont="1" applyFill="1" applyBorder="1" applyAlignment="1">
      <alignment horizontal="center" vertical="center"/>
    </xf>
    <xf numFmtId="0" fontId="23" fillId="12" borderId="27" xfId="0" applyFont="1" applyFill="1" applyBorder="1" applyAlignment="1">
      <alignment horizontal="center" vertical="center"/>
    </xf>
    <xf numFmtId="1" fontId="23" fillId="12" borderId="41" xfId="0" applyNumberFormat="1" applyFont="1" applyFill="1" applyBorder="1" applyAlignment="1">
      <alignment horizontal="center" vertical="center"/>
    </xf>
    <xf numFmtId="164" fontId="23" fillId="12" borderId="41" xfId="2" applyNumberFormat="1" applyFont="1" applyFill="1" applyBorder="1" applyAlignment="1">
      <alignment horizontal="center" vertical="center"/>
    </xf>
    <xf numFmtId="0" fontId="28" fillId="12" borderId="37" xfId="0" applyFont="1" applyFill="1" applyBorder="1" applyAlignment="1">
      <alignment horizontal="center" vertical="center"/>
    </xf>
    <xf numFmtId="9" fontId="23" fillId="12" borderId="38" xfId="2" applyFont="1" applyFill="1" applyBorder="1" applyAlignment="1">
      <alignment horizontal="center" vertical="center"/>
    </xf>
    <xf numFmtId="0" fontId="21" fillId="12" borderId="39" xfId="0" applyFont="1" applyFill="1" applyBorder="1" applyAlignment="1">
      <alignment horizontal="left" vertical="center" wrapText="1"/>
    </xf>
    <xf numFmtId="0" fontId="21" fillId="12" borderId="31" xfId="0" applyFont="1" applyFill="1" applyBorder="1" applyAlignment="1">
      <alignment horizontal="left" vertical="center" wrapText="1"/>
    </xf>
    <xf numFmtId="0" fontId="21" fillId="12" borderId="33" xfId="0" applyFont="1" applyFill="1" applyBorder="1" applyAlignment="1">
      <alignment horizontal="left" vertical="center" wrapText="1"/>
    </xf>
    <xf numFmtId="0" fontId="21" fillId="12" borderId="31" xfId="0" applyFont="1" applyFill="1" applyBorder="1" applyAlignment="1">
      <alignment horizontal="center" vertical="center" wrapText="1"/>
    </xf>
    <xf numFmtId="0" fontId="21" fillId="12" borderId="33" xfId="0" applyFont="1" applyFill="1" applyBorder="1" applyAlignment="1">
      <alignment horizontal="center" vertical="center" wrapText="1"/>
    </xf>
    <xf numFmtId="0" fontId="21" fillId="12" borderId="39" xfId="0" applyFont="1" applyFill="1" applyBorder="1" applyAlignment="1">
      <alignment horizontal="left" vertical="center"/>
    </xf>
    <xf numFmtId="164" fontId="23" fillId="12" borderId="27" xfId="2" applyNumberFormat="1" applyFont="1" applyFill="1" applyBorder="1" applyAlignment="1">
      <alignment horizontal="center" vertical="center"/>
    </xf>
    <xf numFmtId="9" fontId="23" fillId="12" borderId="27" xfId="2" applyFont="1" applyFill="1" applyBorder="1" applyAlignment="1">
      <alignment horizontal="center" vertical="center"/>
    </xf>
    <xf numFmtId="1" fontId="23" fillId="12" borderId="39" xfId="0" applyNumberFormat="1" applyFont="1" applyFill="1" applyBorder="1" applyAlignment="1">
      <alignment horizontal="center" vertical="center"/>
    </xf>
    <xf numFmtId="164" fontId="23" fillId="12" borderId="39" xfId="2" applyNumberFormat="1" applyFont="1" applyFill="1" applyBorder="1" applyAlignment="1">
      <alignment horizontal="center" vertical="center"/>
    </xf>
    <xf numFmtId="0" fontId="28" fillId="12" borderId="31" xfId="0" applyFont="1" applyFill="1" applyBorder="1" applyAlignment="1">
      <alignment horizontal="center" vertical="center"/>
    </xf>
    <xf numFmtId="9" fontId="23" fillId="12" borderId="33" xfId="2" applyFont="1" applyFill="1" applyBorder="1" applyAlignment="1">
      <alignment horizontal="center" vertical="center"/>
    </xf>
    <xf numFmtId="0" fontId="31" fillId="13" borderId="0" xfId="0" applyFont="1" applyFill="1" applyAlignment="1">
      <alignment vertical="center"/>
    </xf>
    <xf numFmtId="0" fontId="32" fillId="13" borderId="0" xfId="0" applyFont="1" applyFill="1" applyAlignment="1">
      <alignment horizontal="center" vertical="center"/>
    </xf>
    <xf numFmtId="0" fontId="30" fillId="7" borderId="0" xfId="0" applyFont="1" applyFill="1" applyAlignment="1">
      <alignment horizontal="center" vertical="center"/>
    </xf>
    <xf numFmtId="0" fontId="26" fillId="12" borderId="34" xfId="0" applyFont="1" applyFill="1" applyBorder="1" applyAlignment="1">
      <alignment horizontal="center" vertical="center"/>
    </xf>
    <xf numFmtId="0" fontId="0" fillId="13" borderId="0" xfId="0" applyFill="1" applyAlignment="1">
      <alignment vertical="center"/>
    </xf>
    <xf numFmtId="1" fontId="33" fillId="9" borderId="0" xfId="0" applyNumberFormat="1" applyFont="1" applyFill="1" applyAlignment="1">
      <alignment horizontal="left" vertical="center"/>
    </xf>
    <xf numFmtId="0" fontId="22" fillId="12" borderId="27" xfId="0" applyFont="1" applyFill="1" applyBorder="1" applyAlignment="1">
      <alignment horizontal="center" vertical="center"/>
    </xf>
    <xf numFmtId="0" fontId="26" fillId="12" borderId="37" xfId="0" applyFont="1" applyFill="1" applyBorder="1" applyAlignment="1">
      <alignment horizontal="center" vertical="center"/>
    </xf>
    <xf numFmtId="0" fontId="23" fillId="12" borderId="39" xfId="0" applyFont="1" applyFill="1" applyBorder="1" applyAlignment="1">
      <alignment horizontal="center" vertical="center" wrapText="1"/>
    </xf>
    <xf numFmtId="0" fontId="26" fillId="12" borderId="31" xfId="0" applyFont="1" applyFill="1" applyBorder="1" applyAlignment="1">
      <alignment horizontal="center" vertical="center"/>
    </xf>
    <xf numFmtId="0" fontId="23" fillId="12" borderId="40" xfId="0" applyFont="1" applyFill="1" applyBorder="1" applyAlignment="1">
      <alignment horizontal="left" vertical="center"/>
    </xf>
    <xf numFmtId="0" fontId="25" fillId="12" borderId="34" xfId="0" applyFont="1" applyFill="1" applyBorder="1" applyAlignment="1">
      <alignment horizontal="center" vertical="center"/>
    </xf>
    <xf numFmtId="0" fontId="0" fillId="9" borderId="0" xfId="0" applyFont="1" applyFill="1" applyAlignment="1">
      <alignment horizontal="right" vertical="center"/>
    </xf>
    <xf numFmtId="0" fontId="23" fillId="12" borderId="41" xfId="0" applyFont="1" applyFill="1" applyBorder="1" applyAlignment="1">
      <alignment horizontal="left" vertical="center"/>
    </xf>
    <xf numFmtId="0" fontId="25" fillId="12" borderId="37" xfId="0" applyFont="1" applyFill="1" applyBorder="1" applyAlignment="1">
      <alignment horizontal="center" vertical="center"/>
    </xf>
    <xf numFmtId="0" fontId="23" fillId="12" borderId="39" xfId="0" applyFont="1" applyFill="1" applyBorder="1" applyAlignment="1">
      <alignment horizontal="left" vertical="center"/>
    </xf>
    <xf numFmtId="0" fontId="25" fillId="12" borderId="31" xfId="0" applyFont="1" applyFill="1" applyBorder="1" applyAlignment="1">
      <alignment horizontal="center" vertical="center"/>
    </xf>
    <xf numFmtId="1" fontId="15" fillId="9" borderId="42" xfId="0" applyNumberFormat="1" applyFont="1" applyFill="1" applyBorder="1" applyAlignment="1">
      <alignment horizontal="center" vertical="center"/>
    </xf>
    <xf numFmtId="0" fontId="0" fillId="9" borderId="42" xfId="0" applyFill="1" applyBorder="1" applyAlignment="1">
      <alignment vertical="center"/>
    </xf>
    <xf numFmtId="166" fontId="0" fillId="10" borderId="42" xfId="0" applyNumberFormat="1" applyFill="1" applyBorder="1" applyAlignment="1">
      <alignment vertical="center"/>
    </xf>
    <xf numFmtId="0" fontId="15" fillId="12" borderId="38" xfId="0" applyFont="1" applyFill="1" applyBorder="1" applyAlignment="1">
      <alignment horizontal="center" vertical="center" textRotation="255"/>
    </xf>
    <xf numFmtId="0" fontId="15" fillId="14" borderId="38" xfId="0" applyFont="1" applyFill="1" applyBorder="1" applyAlignment="1">
      <alignment horizontal="center" vertical="center" textRotation="255"/>
    </xf>
    <xf numFmtId="0" fontId="23" fillId="14" borderId="40" xfId="0" applyFont="1" applyFill="1" applyBorder="1" applyAlignment="1">
      <alignment horizontal="center" vertical="center" wrapText="1"/>
    </xf>
    <xf numFmtId="0" fontId="21" fillId="14" borderId="40" xfId="0" applyFont="1" applyFill="1" applyBorder="1" applyAlignment="1">
      <alignment horizontal="left" vertical="center" wrapText="1"/>
    </xf>
    <xf numFmtId="0" fontId="21" fillId="14" borderId="34" xfId="0" applyFont="1" applyFill="1" applyBorder="1" applyAlignment="1">
      <alignment horizontal="left" vertical="center" wrapText="1"/>
    </xf>
    <xf numFmtId="0" fontId="21" fillId="14" borderId="36" xfId="0" applyFont="1" applyFill="1" applyBorder="1" applyAlignment="1">
      <alignment horizontal="left" vertical="center" wrapText="1"/>
    </xf>
    <xf numFmtId="0" fontId="21" fillId="14" borderId="34" xfId="0" applyFont="1" applyFill="1" applyBorder="1" applyAlignment="1">
      <alignment horizontal="center" vertical="center" wrapText="1"/>
    </xf>
    <xf numFmtId="0" fontId="21" fillId="14" borderId="36" xfId="0" applyFont="1" applyFill="1" applyBorder="1" applyAlignment="1">
      <alignment horizontal="center" vertical="center" wrapText="1"/>
    </xf>
    <xf numFmtId="0" fontId="23" fillId="14" borderId="27" xfId="0" applyFont="1" applyFill="1" applyBorder="1" applyAlignment="1">
      <alignment vertical="center"/>
    </xf>
    <xf numFmtId="9" fontId="23" fillId="14" borderId="27" xfId="2" applyFont="1" applyFill="1" applyBorder="1" applyAlignment="1">
      <alignment horizontal="center" vertical="center"/>
    </xf>
    <xf numFmtId="1" fontId="23" fillId="14" borderId="40" xfId="0" applyNumberFormat="1" applyFont="1" applyFill="1" applyBorder="1" applyAlignment="1">
      <alignment horizontal="center" vertical="center"/>
    </xf>
    <xf numFmtId="164" fontId="23" fillId="14" borderId="40" xfId="2" applyNumberFormat="1" applyFont="1" applyFill="1" applyBorder="1" applyAlignment="1">
      <alignment horizontal="center" vertical="center"/>
    </xf>
    <xf numFmtId="0" fontId="25" fillId="14" borderId="34" xfId="0" applyFont="1" applyFill="1" applyBorder="1" applyAlignment="1">
      <alignment horizontal="center" vertical="center"/>
    </xf>
    <xf numFmtId="9" fontId="23" fillId="14" borderId="36" xfId="2" applyFont="1" applyFill="1" applyBorder="1" applyAlignment="1">
      <alignment horizontal="center" vertical="center"/>
    </xf>
    <xf numFmtId="0" fontId="15" fillId="15" borderId="0" xfId="0" applyFont="1" applyFill="1" applyAlignment="1">
      <alignment vertical="center"/>
    </xf>
    <xf numFmtId="0" fontId="23" fillId="14" borderId="41" xfId="0" applyFont="1" applyFill="1" applyBorder="1" applyAlignment="1">
      <alignment horizontal="center" vertical="center" wrapText="1"/>
    </xf>
    <xf numFmtId="0" fontId="21" fillId="14" borderId="41" xfId="0" applyFont="1" applyFill="1" applyBorder="1" applyAlignment="1">
      <alignment horizontal="left" vertical="center" wrapText="1"/>
    </xf>
    <xf numFmtId="0" fontId="21" fillId="14" borderId="37" xfId="0" applyFont="1" applyFill="1" applyBorder="1" applyAlignment="1">
      <alignment horizontal="left" vertical="center" wrapText="1"/>
    </xf>
    <xf numFmtId="0" fontId="21" fillId="14" borderId="38" xfId="0" applyFont="1" applyFill="1" applyBorder="1" applyAlignment="1">
      <alignment horizontal="left" vertical="center" wrapText="1"/>
    </xf>
    <xf numFmtId="0" fontId="21" fillId="14" borderId="37" xfId="0" applyFont="1" applyFill="1" applyBorder="1" applyAlignment="1">
      <alignment horizontal="center" vertical="center" wrapText="1"/>
    </xf>
    <xf numFmtId="0" fontId="21" fillId="14" borderId="38" xfId="0" applyFont="1" applyFill="1" applyBorder="1" applyAlignment="1">
      <alignment horizontal="center" vertical="center" wrapText="1"/>
    </xf>
    <xf numFmtId="0" fontId="23" fillId="14" borderId="27" xfId="0" applyFont="1" applyFill="1" applyBorder="1" applyAlignment="1">
      <alignment horizontal="center" vertical="center"/>
    </xf>
    <xf numFmtId="1" fontId="23" fillId="14" borderId="41" xfId="0" applyNumberFormat="1" applyFont="1" applyFill="1" applyBorder="1" applyAlignment="1">
      <alignment horizontal="center" vertical="center"/>
    </xf>
    <xf numFmtId="164" fontId="23" fillId="14" borderId="41" xfId="2" applyNumberFormat="1" applyFont="1" applyFill="1" applyBorder="1" applyAlignment="1">
      <alignment horizontal="center" vertical="center"/>
    </xf>
    <xf numFmtId="0" fontId="25" fillId="14" borderId="37" xfId="0" applyFont="1" applyFill="1" applyBorder="1" applyAlignment="1">
      <alignment horizontal="center" vertical="center"/>
    </xf>
    <xf numFmtId="9" fontId="23" fillId="14" borderId="38" xfId="2" applyFont="1" applyFill="1" applyBorder="1" applyAlignment="1">
      <alignment horizontal="center" vertical="center"/>
    </xf>
    <xf numFmtId="0" fontId="21" fillId="14" borderId="39" xfId="0" applyFont="1" applyFill="1" applyBorder="1" applyAlignment="1">
      <alignment horizontal="left" vertical="center" wrapText="1"/>
    </xf>
    <xf numFmtId="0" fontId="21" fillId="14" borderId="31" xfId="0" applyFont="1" applyFill="1" applyBorder="1" applyAlignment="1">
      <alignment horizontal="left" vertical="center" wrapText="1"/>
    </xf>
    <xf numFmtId="0" fontId="21" fillId="14" borderId="33" xfId="0" applyFont="1" applyFill="1" applyBorder="1" applyAlignment="1">
      <alignment horizontal="left" vertical="center" wrapText="1"/>
    </xf>
    <xf numFmtId="0" fontId="21" fillId="14" borderId="31" xfId="0" applyFont="1" applyFill="1" applyBorder="1" applyAlignment="1">
      <alignment horizontal="center" vertical="center" wrapText="1"/>
    </xf>
    <xf numFmtId="0" fontId="21" fillId="14" borderId="33" xfId="0" applyFont="1" applyFill="1" applyBorder="1" applyAlignment="1">
      <alignment horizontal="center" vertical="center" wrapText="1"/>
    </xf>
    <xf numFmtId="164" fontId="23" fillId="14" borderId="27" xfId="2" applyNumberFormat="1" applyFont="1" applyFill="1" applyBorder="1" applyAlignment="1">
      <alignment horizontal="center" vertical="center"/>
    </xf>
    <xf numFmtId="1" fontId="23" fillId="14" borderId="39" xfId="0" applyNumberFormat="1" applyFont="1" applyFill="1" applyBorder="1" applyAlignment="1">
      <alignment horizontal="center" vertical="center"/>
    </xf>
    <xf numFmtId="164" fontId="23" fillId="14" borderId="39" xfId="2" applyNumberFormat="1" applyFont="1" applyFill="1" applyBorder="1" applyAlignment="1">
      <alignment horizontal="center" vertical="center"/>
    </xf>
    <xf numFmtId="0" fontId="25" fillId="14" borderId="31" xfId="0" applyFont="1" applyFill="1" applyBorder="1" applyAlignment="1">
      <alignment horizontal="center" vertical="center"/>
    </xf>
    <xf numFmtId="9" fontId="23" fillId="14" borderId="33" xfId="2" applyFont="1" applyFill="1" applyBorder="1" applyAlignment="1">
      <alignment horizontal="center" vertical="center"/>
    </xf>
    <xf numFmtId="9" fontId="23" fillId="14" borderId="27" xfId="0" applyNumberFormat="1" applyFont="1" applyFill="1" applyBorder="1" applyAlignment="1">
      <alignment horizontal="center" vertical="center"/>
    </xf>
    <xf numFmtId="0" fontId="28" fillId="14" borderId="34" xfId="0" applyFont="1" applyFill="1" applyBorder="1" applyAlignment="1">
      <alignment horizontal="center" vertical="center"/>
    </xf>
    <xf numFmtId="0" fontId="31" fillId="15" borderId="0" xfId="0" applyFont="1" applyFill="1" applyAlignment="1">
      <alignment vertical="center"/>
    </xf>
    <xf numFmtId="0" fontId="29" fillId="15" borderId="0" xfId="0" applyFont="1" applyFill="1" applyAlignment="1">
      <alignment horizontal="center" vertical="center"/>
    </xf>
    <xf numFmtId="0" fontId="34" fillId="7" borderId="0" xfId="0" applyFont="1" applyFill="1" applyAlignment="1">
      <alignment vertical="center"/>
    </xf>
    <xf numFmtId="9" fontId="0" fillId="0" borderId="0" xfId="2" applyFont="1" applyAlignment="1">
      <alignment vertical="center"/>
    </xf>
    <xf numFmtId="0" fontId="28" fillId="14" borderId="37" xfId="0" applyFont="1" applyFill="1" applyBorder="1" applyAlignment="1">
      <alignment horizontal="center" vertical="center"/>
    </xf>
    <xf numFmtId="0" fontId="28" fillId="14" borderId="31" xfId="0" applyFont="1" applyFill="1" applyBorder="1" applyAlignment="1">
      <alignment horizontal="center" vertical="center"/>
    </xf>
    <xf numFmtId="0" fontId="26" fillId="14" borderId="34" xfId="0" applyFont="1" applyFill="1" applyBorder="1" applyAlignment="1">
      <alignment horizontal="center" vertical="center"/>
    </xf>
    <xf numFmtId="0" fontId="33" fillId="9" borderId="0" xfId="0" applyFont="1" applyFill="1" applyAlignment="1">
      <alignment horizontal="left" vertical="center"/>
    </xf>
    <xf numFmtId="1" fontId="15" fillId="9" borderId="0" xfId="0" applyNumberFormat="1" applyFont="1" applyFill="1" applyAlignment="1">
      <alignment vertical="center"/>
    </xf>
    <xf numFmtId="0" fontId="12" fillId="14" borderId="27" xfId="0" applyFont="1" applyFill="1" applyBorder="1" applyAlignment="1">
      <alignment horizontal="center" vertical="center"/>
    </xf>
    <xf numFmtId="0" fontId="26" fillId="14" borderId="37" xfId="0" applyFont="1" applyFill="1" applyBorder="1" applyAlignment="1">
      <alignment horizontal="center" vertical="center"/>
    </xf>
    <xf numFmtId="0" fontId="23" fillId="14" borderId="39" xfId="0" applyFont="1" applyFill="1" applyBorder="1" applyAlignment="1">
      <alignment horizontal="center" vertical="center" wrapText="1"/>
    </xf>
    <xf numFmtId="0" fontId="26" fillId="14" borderId="31" xfId="0" applyFont="1" applyFill="1" applyBorder="1" applyAlignment="1">
      <alignment horizontal="center" vertical="center"/>
    </xf>
    <xf numFmtId="0" fontId="23" fillId="14" borderId="40" xfId="0" applyFont="1" applyFill="1" applyBorder="1" applyAlignment="1">
      <alignment horizontal="left" vertical="center"/>
    </xf>
    <xf numFmtId="0" fontId="23" fillId="14" borderId="41" xfId="0" applyFont="1" applyFill="1" applyBorder="1" applyAlignment="1">
      <alignment horizontal="left" vertical="center"/>
    </xf>
    <xf numFmtId="0" fontId="23" fillId="14" borderId="39" xfId="0" applyFont="1" applyFill="1" applyBorder="1" applyAlignment="1">
      <alignment horizontal="left" vertical="center"/>
    </xf>
    <xf numFmtId="165" fontId="0" fillId="0" borderId="0" xfId="0" applyNumberFormat="1" applyAlignment="1">
      <alignment vertical="center"/>
    </xf>
    <xf numFmtId="0" fontId="15" fillId="7" borderId="0" xfId="0" applyFont="1" applyFill="1" applyAlignment="1">
      <alignment horizontal="center" vertical="center"/>
    </xf>
    <xf numFmtId="0" fontId="15" fillId="14" borderId="38" xfId="0" applyFont="1" applyFill="1" applyBorder="1" applyAlignment="1">
      <alignment horizontal="center" vertical="center" textRotation="255"/>
    </xf>
    <xf numFmtId="0" fontId="15" fillId="16" borderId="38" xfId="0" applyFont="1" applyFill="1" applyBorder="1" applyAlignment="1">
      <alignment horizontal="center" vertical="center" textRotation="255"/>
    </xf>
    <xf numFmtId="0" fontId="23" fillId="16" borderId="40" xfId="0" applyFont="1" applyFill="1" applyBorder="1" applyAlignment="1">
      <alignment horizontal="center" vertical="center" wrapText="1"/>
    </xf>
    <xf numFmtId="0" fontId="21" fillId="16" borderId="40" xfId="0" applyFont="1" applyFill="1" applyBorder="1" applyAlignment="1">
      <alignment horizontal="left" vertical="center" wrapText="1"/>
    </xf>
    <xf numFmtId="0" fontId="21" fillId="16" borderId="34" xfId="0" applyFont="1" applyFill="1" applyBorder="1" applyAlignment="1">
      <alignment horizontal="left" vertical="center" wrapText="1"/>
    </xf>
    <xf numFmtId="0" fontId="21" fillId="16" borderId="36" xfId="0" applyFont="1" applyFill="1" applyBorder="1" applyAlignment="1">
      <alignment horizontal="left" vertical="center" wrapText="1"/>
    </xf>
    <xf numFmtId="0" fontId="21" fillId="16" borderId="34" xfId="0" applyFont="1" applyFill="1" applyBorder="1" applyAlignment="1">
      <alignment horizontal="center" vertical="center" wrapText="1"/>
    </xf>
    <xf numFmtId="0" fontId="21" fillId="16" borderId="36" xfId="0" applyFont="1" applyFill="1" applyBorder="1" applyAlignment="1">
      <alignment horizontal="center" vertical="center" wrapText="1"/>
    </xf>
    <xf numFmtId="0" fontId="21" fillId="16" borderId="40" xfId="0" applyFont="1" applyFill="1" applyBorder="1" applyAlignment="1">
      <alignment horizontal="left" vertical="center"/>
    </xf>
    <xf numFmtId="0" fontId="23" fillId="16" borderId="27" xfId="0" applyFont="1" applyFill="1" applyBorder="1" applyAlignment="1">
      <alignment vertical="center"/>
    </xf>
    <xf numFmtId="9" fontId="23" fillId="16" borderId="27" xfId="0" applyNumberFormat="1" applyFont="1" applyFill="1" applyBorder="1" applyAlignment="1">
      <alignment horizontal="center" vertical="center"/>
    </xf>
    <xf numFmtId="1" fontId="23" fillId="16" borderId="40" xfId="0" applyNumberFormat="1" applyFont="1" applyFill="1" applyBorder="1" applyAlignment="1">
      <alignment horizontal="center" vertical="center"/>
    </xf>
    <xf numFmtId="164" fontId="23" fillId="16" borderId="40" xfId="2" applyNumberFormat="1" applyFont="1" applyFill="1" applyBorder="1" applyAlignment="1">
      <alignment horizontal="center" vertical="center"/>
    </xf>
    <xf numFmtId="0" fontId="25" fillId="16" borderId="34" xfId="0" applyFont="1" applyFill="1" applyBorder="1" applyAlignment="1">
      <alignment horizontal="center" vertical="center"/>
    </xf>
    <xf numFmtId="9" fontId="23" fillId="16" borderId="36" xfId="2" applyFont="1" applyFill="1" applyBorder="1" applyAlignment="1">
      <alignment horizontal="center" vertical="center"/>
    </xf>
    <xf numFmtId="0" fontId="23" fillId="16" borderId="41" xfId="0" applyFont="1" applyFill="1" applyBorder="1" applyAlignment="1">
      <alignment horizontal="center" vertical="center" wrapText="1"/>
    </xf>
    <xf numFmtId="0" fontId="21" fillId="16" borderId="41" xfId="0" applyFont="1" applyFill="1" applyBorder="1" applyAlignment="1">
      <alignment horizontal="left" vertical="center" wrapText="1"/>
    </xf>
    <xf numFmtId="0" fontId="21" fillId="16" borderId="37" xfId="0" applyFont="1" applyFill="1" applyBorder="1" applyAlignment="1">
      <alignment horizontal="left" vertical="center" wrapText="1"/>
    </xf>
    <xf numFmtId="0" fontId="21" fillId="16" borderId="38" xfId="0" applyFont="1" applyFill="1" applyBorder="1" applyAlignment="1">
      <alignment horizontal="left" vertical="center" wrapText="1"/>
    </xf>
    <xf numFmtId="0" fontId="21" fillId="16" borderId="37" xfId="0" applyFont="1" applyFill="1" applyBorder="1" applyAlignment="1">
      <alignment horizontal="center" vertical="center" wrapText="1"/>
    </xf>
    <xf numFmtId="0" fontId="21" fillId="16" borderId="38" xfId="0" applyFont="1" applyFill="1" applyBorder="1" applyAlignment="1">
      <alignment horizontal="center" vertical="center" wrapText="1"/>
    </xf>
    <xf numFmtId="0" fontId="21" fillId="16" borderId="41" xfId="0" applyFont="1" applyFill="1" applyBorder="1" applyAlignment="1">
      <alignment horizontal="left" vertical="center"/>
    </xf>
    <xf numFmtId="0" fontId="23" fillId="16" borderId="27" xfId="0" applyFont="1" applyFill="1" applyBorder="1" applyAlignment="1">
      <alignment horizontal="center" vertical="center"/>
    </xf>
    <xf numFmtId="0" fontId="12" fillId="16" borderId="27" xfId="0" applyFont="1" applyFill="1" applyBorder="1" applyAlignment="1">
      <alignment horizontal="center" vertical="center"/>
    </xf>
    <xf numFmtId="1" fontId="23" fillId="16" borderId="41" xfId="0" applyNumberFormat="1" applyFont="1" applyFill="1" applyBorder="1" applyAlignment="1">
      <alignment horizontal="center" vertical="center"/>
    </xf>
    <xf numFmtId="164" fontId="23" fillId="16" borderId="41" xfId="2" applyNumberFormat="1" applyFont="1" applyFill="1" applyBorder="1" applyAlignment="1">
      <alignment horizontal="center" vertical="center"/>
    </xf>
    <xf numFmtId="0" fontId="25" fillId="16" borderId="37" xfId="0" applyFont="1" applyFill="1" applyBorder="1" applyAlignment="1">
      <alignment horizontal="center" vertical="center"/>
    </xf>
    <xf numFmtId="9" fontId="23" fillId="16" borderId="38" xfId="2" applyFont="1" applyFill="1" applyBorder="1" applyAlignment="1">
      <alignment horizontal="center" vertical="center"/>
    </xf>
    <xf numFmtId="0" fontId="21" fillId="16" borderId="39" xfId="0" applyFont="1" applyFill="1" applyBorder="1" applyAlignment="1">
      <alignment horizontal="left" vertical="center" wrapText="1"/>
    </xf>
    <xf numFmtId="0" fontId="21" fillId="16" borderId="31" xfId="0" applyFont="1" applyFill="1" applyBorder="1" applyAlignment="1">
      <alignment horizontal="left" vertical="center" wrapText="1"/>
    </xf>
    <xf numFmtId="0" fontId="21" fillId="16" borderId="33" xfId="0" applyFont="1" applyFill="1" applyBorder="1" applyAlignment="1">
      <alignment horizontal="left" vertical="center" wrapText="1"/>
    </xf>
    <xf numFmtId="0" fontId="21" fillId="16" borderId="31" xfId="0" applyFont="1" applyFill="1" applyBorder="1" applyAlignment="1">
      <alignment horizontal="center" vertical="center" wrapText="1"/>
    </xf>
    <xf numFmtId="0" fontId="21" fillId="16" borderId="33" xfId="0" applyFont="1" applyFill="1" applyBorder="1" applyAlignment="1">
      <alignment horizontal="center" vertical="center" wrapText="1"/>
    </xf>
    <xf numFmtId="0" fontId="21" fillId="16" borderId="39" xfId="0" applyFont="1" applyFill="1" applyBorder="1" applyAlignment="1">
      <alignment horizontal="left" vertical="center"/>
    </xf>
    <xf numFmtId="164" fontId="23" fillId="16" borderId="27" xfId="2" applyNumberFormat="1" applyFont="1" applyFill="1" applyBorder="1" applyAlignment="1">
      <alignment horizontal="center" vertical="center"/>
    </xf>
    <xf numFmtId="164" fontId="12" fillId="16" borderId="27" xfId="2" applyNumberFormat="1" applyFont="1" applyFill="1" applyBorder="1" applyAlignment="1">
      <alignment horizontal="center" vertical="center"/>
    </xf>
    <xf numFmtId="9" fontId="23" fillId="16" borderId="27" xfId="2" applyFont="1" applyFill="1" applyBorder="1" applyAlignment="1">
      <alignment horizontal="center" vertical="center"/>
    </xf>
    <xf numFmtId="1" fontId="23" fillId="16" borderId="39" xfId="0" applyNumberFormat="1" applyFont="1" applyFill="1" applyBorder="1" applyAlignment="1">
      <alignment horizontal="center" vertical="center"/>
    </xf>
    <xf numFmtId="164" fontId="23" fillId="16" borderId="39" xfId="2" applyNumberFormat="1" applyFont="1" applyFill="1" applyBorder="1" applyAlignment="1">
      <alignment horizontal="center" vertical="center"/>
    </xf>
    <xf numFmtId="0" fontId="25" fillId="16" borderId="31" xfId="0" applyFont="1" applyFill="1" applyBorder="1" applyAlignment="1">
      <alignment horizontal="center" vertical="center"/>
    </xf>
    <xf numFmtId="9" fontId="23" fillId="16" borderId="33" xfId="2" applyFont="1" applyFill="1" applyBorder="1" applyAlignment="1">
      <alignment horizontal="center" vertical="center"/>
    </xf>
    <xf numFmtId="0" fontId="28" fillId="16" borderId="34" xfId="0" applyFont="1" applyFill="1" applyBorder="1" applyAlignment="1">
      <alignment horizontal="center" vertical="center"/>
    </xf>
    <xf numFmtId="0" fontId="31" fillId="7" borderId="0" xfId="0" applyFont="1" applyFill="1" applyAlignment="1">
      <alignment vertical="center"/>
    </xf>
    <xf numFmtId="0" fontId="28" fillId="16" borderId="37" xfId="0" applyFont="1" applyFill="1" applyBorder="1" applyAlignment="1">
      <alignment horizontal="center" vertical="center"/>
    </xf>
    <xf numFmtId="0" fontId="28" fillId="16" borderId="31" xfId="0" applyFont="1" applyFill="1" applyBorder="1" applyAlignment="1">
      <alignment horizontal="center" vertical="center"/>
    </xf>
    <xf numFmtId="0" fontId="0" fillId="15" borderId="0" xfId="0" applyFill="1" applyAlignment="1">
      <alignment vertical="center"/>
    </xf>
    <xf numFmtId="0" fontId="33" fillId="7" borderId="0" xfId="0" applyFont="1" applyFill="1" applyAlignment="1">
      <alignment horizontal="left" vertical="center"/>
    </xf>
    <xf numFmtId="0" fontId="23" fillId="16" borderId="39" xfId="0" applyFont="1" applyFill="1" applyBorder="1" applyAlignment="1">
      <alignment horizontal="center" vertical="center" wrapText="1"/>
    </xf>
    <xf numFmtId="0" fontId="23" fillId="16" borderId="40" xfId="0" applyFont="1" applyFill="1" applyBorder="1" applyAlignment="1">
      <alignment horizontal="left" vertical="center"/>
    </xf>
    <xf numFmtId="0" fontId="0" fillId="7" borderId="0" xfId="0" applyFont="1" applyFill="1" applyAlignment="1">
      <alignment horizontal="center" vertical="center"/>
    </xf>
    <xf numFmtId="0" fontId="0" fillId="9" borderId="0" xfId="0" applyFont="1" applyFill="1" applyAlignment="1">
      <alignment horizontal="center" vertical="center"/>
    </xf>
    <xf numFmtId="1" fontId="0" fillId="9" borderId="0" xfId="0" applyNumberFormat="1" applyFill="1" applyAlignment="1">
      <alignment vertical="center"/>
    </xf>
    <xf numFmtId="0" fontId="23" fillId="16" borderId="41" xfId="0" applyFont="1" applyFill="1" applyBorder="1" applyAlignment="1">
      <alignment horizontal="left" vertical="center"/>
    </xf>
    <xf numFmtId="0" fontId="23" fillId="16" borderId="39" xfId="0" applyFont="1" applyFill="1" applyBorder="1" applyAlignment="1">
      <alignment horizontal="left" vertical="center"/>
    </xf>
    <xf numFmtId="0" fontId="35" fillId="15" borderId="0" xfId="0" applyFont="1" applyFill="1" applyAlignment="1">
      <alignment vertical="center"/>
    </xf>
    <xf numFmtId="1" fontId="15" fillId="9" borderId="42" xfId="0" applyNumberFormat="1" applyFont="1" applyFill="1" applyBorder="1" applyAlignment="1">
      <alignment vertical="center"/>
    </xf>
    <xf numFmtId="0" fontId="15" fillId="16" borderId="38" xfId="0" applyFont="1" applyFill="1" applyBorder="1" applyAlignment="1">
      <alignment horizontal="center" vertical="center" textRotation="255"/>
    </xf>
    <xf numFmtId="0" fontId="15" fillId="17" borderId="38" xfId="0" applyFont="1" applyFill="1" applyBorder="1" applyAlignment="1">
      <alignment horizontal="center" vertical="center" textRotation="255"/>
    </xf>
    <xf numFmtId="0" fontId="23" fillId="17" borderId="40" xfId="0" applyFont="1" applyFill="1" applyBorder="1" applyAlignment="1">
      <alignment horizontal="center" vertical="center" wrapText="1"/>
    </xf>
    <xf numFmtId="0" fontId="21" fillId="17" borderId="40" xfId="0" applyFont="1" applyFill="1" applyBorder="1" applyAlignment="1">
      <alignment horizontal="left" vertical="center" wrapText="1"/>
    </xf>
    <xf numFmtId="0" fontId="21" fillId="17" borderId="34" xfId="0" applyFont="1" applyFill="1" applyBorder="1" applyAlignment="1">
      <alignment horizontal="left" vertical="center" wrapText="1"/>
    </xf>
    <xf numFmtId="0" fontId="21" fillId="17" borderId="36" xfId="0" applyFont="1" applyFill="1" applyBorder="1" applyAlignment="1">
      <alignment horizontal="left" vertical="center" wrapText="1"/>
    </xf>
    <xf numFmtId="0" fontId="21" fillId="17" borderId="34" xfId="0" applyFont="1" applyFill="1" applyBorder="1" applyAlignment="1">
      <alignment horizontal="center" vertical="center" wrapText="1"/>
    </xf>
    <xf numFmtId="0" fontId="21" fillId="17" borderId="36" xfId="0" applyFont="1" applyFill="1" applyBorder="1" applyAlignment="1">
      <alignment horizontal="center" vertical="center" wrapText="1"/>
    </xf>
    <xf numFmtId="0" fontId="21" fillId="17" borderId="40" xfId="0" applyFont="1" applyFill="1" applyBorder="1" applyAlignment="1">
      <alignment horizontal="left" vertical="center"/>
    </xf>
    <xf numFmtId="0" fontId="23" fillId="17" borderId="27" xfId="0" applyFont="1" applyFill="1" applyBorder="1" applyAlignment="1">
      <alignment vertical="center"/>
    </xf>
    <xf numFmtId="9" fontId="23" fillId="17" borderId="27" xfId="2" applyFont="1" applyFill="1" applyBorder="1" applyAlignment="1">
      <alignment horizontal="center" vertical="center"/>
    </xf>
    <xf numFmtId="1" fontId="23" fillId="17" borderId="40" xfId="0" applyNumberFormat="1" applyFont="1" applyFill="1" applyBorder="1" applyAlignment="1">
      <alignment horizontal="center" vertical="center"/>
    </xf>
    <xf numFmtId="164" fontId="23" fillId="17" borderId="40" xfId="2" applyNumberFormat="1" applyFont="1" applyFill="1" applyBorder="1" applyAlignment="1">
      <alignment horizontal="center" vertical="center"/>
    </xf>
    <xf numFmtId="0" fontId="28" fillId="17" borderId="34" xfId="0" applyFont="1" applyFill="1" applyBorder="1" applyAlignment="1">
      <alignment horizontal="center" vertical="center"/>
    </xf>
    <xf numFmtId="9" fontId="23" fillId="17" borderId="36" xfId="2" applyFont="1" applyFill="1" applyBorder="1" applyAlignment="1">
      <alignment horizontal="center" vertical="center"/>
    </xf>
    <xf numFmtId="0" fontId="15" fillId="17" borderId="0" xfId="0" applyFont="1" applyFill="1" applyAlignment="1">
      <alignment vertical="center"/>
    </xf>
    <xf numFmtId="0" fontId="15" fillId="9" borderId="0" xfId="0" applyFont="1" applyFill="1" applyAlignment="1">
      <alignment horizontal="center" vertical="center"/>
    </xf>
    <xf numFmtId="0" fontId="23" fillId="17" borderId="41" xfId="0" applyFont="1" applyFill="1" applyBorder="1" applyAlignment="1">
      <alignment horizontal="center" vertical="center" wrapText="1"/>
    </xf>
    <xf numFmtId="0" fontId="21" fillId="17" borderId="41" xfId="0" applyFont="1" applyFill="1" applyBorder="1" applyAlignment="1">
      <alignment horizontal="left" vertical="center" wrapText="1"/>
    </xf>
    <xf numFmtId="0" fontId="21" fillId="17" borderId="37" xfId="0" applyFont="1" applyFill="1" applyBorder="1" applyAlignment="1">
      <alignment horizontal="left" vertical="center" wrapText="1"/>
    </xf>
    <xf numFmtId="0" fontId="21" fillId="17" borderId="38" xfId="0" applyFont="1" applyFill="1" applyBorder="1" applyAlignment="1">
      <alignment horizontal="left" vertic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41" xfId="0" applyFont="1" applyFill="1" applyBorder="1" applyAlignment="1">
      <alignment horizontal="left" vertical="center"/>
    </xf>
    <xf numFmtId="0" fontId="23" fillId="17" borderId="27" xfId="0" applyFont="1" applyFill="1" applyBorder="1" applyAlignment="1">
      <alignment horizontal="center" vertical="center"/>
    </xf>
    <xf numFmtId="0" fontId="12" fillId="17" borderId="27" xfId="0" applyFont="1" applyFill="1" applyBorder="1" applyAlignment="1">
      <alignment horizontal="center" vertical="center"/>
    </xf>
    <xf numFmtId="1" fontId="23" fillId="17" borderId="41" xfId="0" applyNumberFormat="1" applyFont="1" applyFill="1" applyBorder="1" applyAlignment="1">
      <alignment horizontal="center" vertical="center"/>
    </xf>
    <xf numFmtId="164" fontId="23" fillId="17" borderId="41" xfId="2" applyNumberFormat="1" applyFont="1" applyFill="1" applyBorder="1" applyAlignment="1">
      <alignment horizontal="center" vertical="center"/>
    </xf>
    <xf numFmtId="0" fontId="28" fillId="17" borderId="37" xfId="0" applyFont="1" applyFill="1" applyBorder="1" applyAlignment="1">
      <alignment horizontal="center" vertical="center"/>
    </xf>
    <xf numFmtId="9" fontId="23" fillId="17" borderId="38" xfId="2" applyFont="1" applyFill="1" applyBorder="1" applyAlignment="1">
      <alignment horizontal="center" vertical="center"/>
    </xf>
    <xf numFmtId="0" fontId="21" fillId="17" borderId="39" xfId="0" applyFont="1" applyFill="1" applyBorder="1" applyAlignment="1">
      <alignment horizontal="left" vertical="center" wrapText="1"/>
    </xf>
    <xf numFmtId="0" fontId="21" fillId="17" borderId="31" xfId="0" applyFont="1" applyFill="1" applyBorder="1" applyAlignment="1">
      <alignment horizontal="left" vertical="center" wrapText="1"/>
    </xf>
    <xf numFmtId="0" fontId="21" fillId="17" borderId="33" xfId="0" applyFont="1" applyFill="1" applyBorder="1" applyAlignment="1">
      <alignment horizontal="left" vertical="center" wrapText="1"/>
    </xf>
    <xf numFmtId="0" fontId="21" fillId="17" borderId="31" xfId="0" applyFont="1" applyFill="1" applyBorder="1" applyAlignment="1">
      <alignment horizontal="center" vertical="center" wrapText="1"/>
    </xf>
    <xf numFmtId="0" fontId="21" fillId="17" borderId="33" xfId="0" applyFont="1" applyFill="1" applyBorder="1" applyAlignment="1">
      <alignment horizontal="center" vertical="center" wrapText="1"/>
    </xf>
    <xf numFmtId="0" fontId="21" fillId="17" borderId="39" xfId="0" applyFont="1" applyFill="1" applyBorder="1" applyAlignment="1">
      <alignment horizontal="left" vertical="center"/>
    </xf>
    <xf numFmtId="164" fontId="23" fillId="17" borderId="27" xfId="2" applyNumberFormat="1" applyFont="1" applyFill="1" applyBorder="1" applyAlignment="1">
      <alignment horizontal="center" vertical="center"/>
    </xf>
    <xf numFmtId="164" fontId="12" fillId="17" borderId="27" xfId="2" applyNumberFormat="1" applyFont="1" applyFill="1" applyBorder="1" applyAlignment="1">
      <alignment horizontal="center" vertical="center"/>
    </xf>
    <xf numFmtId="1" fontId="23" fillId="17" borderId="39" xfId="0" applyNumberFormat="1" applyFont="1" applyFill="1" applyBorder="1" applyAlignment="1">
      <alignment horizontal="center" vertical="center"/>
    </xf>
    <xf numFmtId="164" fontId="23" fillId="17" borderId="39" xfId="2" applyNumberFormat="1" applyFont="1" applyFill="1" applyBorder="1" applyAlignment="1">
      <alignment horizontal="center" vertical="center"/>
    </xf>
    <xf numFmtId="0" fontId="28" fillId="17" borderId="31" xfId="0" applyFont="1" applyFill="1" applyBorder="1" applyAlignment="1">
      <alignment horizontal="center" vertical="center"/>
    </xf>
    <xf numFmtId="9" fontId="23" fillId="17" borderId="33" xfId="2" applyFont="1" applyFill="1" applyBorder="1" applyAlignment="1">
      <alignment horizontal="center" vertical="center"/>
    </xf>
    <xf numFmtId="9" fontId="23" fillId="17" borderId="27" xfId="0" applyNumberFormat="1" applyFont="1" applyFill="1" applyBorder="1" applyAlignment="1">
      <alignment horizontal="center" vertical="center"/>
    </xf>
    <xf numFmtId="0" fontId="31" fillId="17" borderId="0" xfId="0" applyFont="1" applyFill="1" applyAlignment="1">
      <alignment vertical="center"/>
    </xf>
    <xf numFmtId="0" fontId="29" fillId="17" borderId="0" xfId="0" applyFont="1" applyFill="1" applyAlignment="1">
      <alignment horizontal="center" vertical="center"/>
    </xf>
    <xf numFmtId="0" fontId="31" fillId="7" borderId="0" xfId="0" applyFont="1" applyFill="1" applyAlignment="1">
      <alignment horizontal="center" vertical="center"/>
    </xf>
    <xf numFmtId="0" fontId="26" fillId="17" borderId="34" xfId="0" applyFont="1" applyFill="1" applyBorder="1" applyAlignment="1">
      <alignment horizontal="center" vertical="center"/>
    </xf>
    <xf numFmtId="0" fontId="0" fillId="17" borderId="0" xfId="0" applyFill="1" applyAlignment="1">
      <alignment vertical="center"/>
    </xf>
    <xf numFmtId="0" fontId="36" fillId="7" borderId="0" xfId="0" applyFont="1" applyFill="1" applyAlignment="1">
      <alignment horizontal="left" vertical="center"/>
    </xf>
    <xf numFmtId="0" fontId="36" fillId="9" borderId="0" xfId="0" applyFont="1" applyFill="1" applyAlignment="1">
      <alignment horizontal="left" vertical="center"/>
    </xf>
    <xf numFmtId="0" fontId="26" fillId="17" borderId="37" xfId="0" applyFont="1" applyFill="1" applyBorder="1" applyAlignment="1">
      <alignment horizontal="center" vertical="center"/>
    </xf>
    <xf numFmtId="0" fontId="23" fillId="17" borderId="39" xfId="0" applyFont="1" applyFill="1" applyBorder="1" applyAlignment="1">
      <alignment horizontal="center" vertical="center" wrapText="1"/>
    </xf>
    <xf numFmtId="0" fontId="26" fillId="17" borderId="31" xfId="0" applyFont="1" applyFill="1" applyBorder="1" applyAlignment="1">
      <alignment horizontal="center" vertical="center"/>
    </xf>
    <xf numFmtId="0" fontId="23" fillId="17" borderId="40" xfId="0" applyFont="1" applyFill="1" applyBorder="1" applyAlignment="1">
      <alignment horizontal="left" vertical="center"/>
    </xf>
    <xf numFmtId="0" fontId="25" fillId="17" borderId="34" xfId="0" applyFont="1" applyFill="1" applyBorder="1" applyAlignment="1">
      <alignment horizontal="center" vertical="center"/>
    </xf>
    <xf numFmtId="0" fontId="0" fillId="7" borderId="0" xfId="0" applyFont="1" applyFill="1" applyAlignment="1">
      <alignment horizontal="right" vertical="center"/>
    </xf>
    <xf numFmtId="0" fontId="15" fillId="9" borderId="0" xfId="0" applyFont="1" applyFill="1" applyAlignment="1">
      <alignment horizontal="right" vertical="center"/>
    </xf>
    <xf numFmtId="0" fontId="23" fillId="17" borderId="41" xfId="0" applyFont="1" applyFill="1" applyBorder="1" applyAlignment="1">
      <alignment horizontal="left" vertical="center"/>
    </xf>
    <xf numFmtId="0" fontId="25" fillId="17" borderId="37" xfId="0" applyFont="1" applyFill="1" applyBorder="1" applyAlignment="1">
      <alignment horizontal="center" vertical="center"/>
    </xf>
    <xf numFmtId="0" fontId="23" fillId="17" borderId="39" xfId="0" applyFont="1" applyFill="1" applyBorder="1" applyAlignment="1">
      <alignment horizontal="left" vertical="center"/>
    </xf>
    <xf numFmtId="0" fontId="25" fillId="17" borderId="31" xfId="0" applyFont="1" applyFill="1" applyBorder="1" applyAlignment="1">
      <alignment horizontal="center" vertical="center"/>
    </xf>
    <xf numFmtId="0" fontId="0" fillId="7" borderId="0" xfId="0" applyFont="1" applyFill="1" applyAlignment="1">
      <alignment vertical="center"/>
    </xf>
    <xf numFmtId="0" fontId="0" fillId="9" borderId="0" xfId="0" applyFont="1" applyFill="1" applyAlignment="1">
      <alignment vertical="center"/>
    </xf>
    <xf numFmtId="0" fontId="15" fillId="9" borderId="42" xfId="0" applyFont="1" applyFill="1" applyBorder="1" applyAlignment="1">
      <alignment horizontal="center" vertical="center"/>
    </xf>
    <xf numFmtId="0" fontId="15" fillId="17" borderId="38" xfId="0" applyFont="1" applyFill="1" applyBorder="1" applyAlignment="1">
      <alignment horizontal="center" vertical="center" textRotation="255"/>
    </xf>
    <xf numFmtId="0" fontId="15" fillId="13" borderId="38" xfId="0" applyFont="1" applyFill="1" applyBorder="1" applyAlignment="1">
      <alignment horizontal="center" vertical="center" textRotation="255"/>
    </xf>
    <xf numFmtId="0" fontId="23" fillId="13" borderId="40" xfId="0" applyFont="1" applyFill="1" applyBorder="1" applyAlignment="1">
      <alignment horizontal="center" vertical="center" wrapText="1"/>
    </xf>
    <xf numFmtId="0" fontId="21" fillId="13" borderId="40" xfId="0" applyFont="1" applyFill="1" applyBorder="1" applyAlignment="1">
      <alignment horizontal="left" vertical="center" wrapText="1"/>
    </xf>
    <xf numFmtId="0" fontId="21" fillId="13" borderId="34" xfId="0" applyFont="1" applyFill="1" applyBorder="1" applyAlignment="1">
      <alignment horizontal="left" vertical="center" wrapText="1"/>
    </xf>
    <xf numFmtId="0" fontId="21" fillId="13" borderId="36" xfId="0" applyFont="1" applyFill="1" applyBorder="1" applyAlignment="1">
      <alignment horizontal="left" vertical="center" wrapText="1"/>
    </xf>
    <xf numFmtId="0" fontId="21" fillId="13" borderId="34" xfId="0" applyFont="1" applyFill="1" applyBorder="1" applyAlignment="1">
      <alignment horizontal="center" vertical="center" wrapText="1"/>
    </xf>
    <xf numFmtId="0" fontId="21" fillId="13" borderId="36" xfId="0" applyFont="1" applyFill="1" applyBorder="1" applyAlignment="1">
      <alignment horizontal="center" vertical="center" wrapText="1"/>
    </xf>
    <xf numFmtId="0" fontId="21" fillId="13" borderId="40" xfId="0" applyFont="1" applyFill="1" applyBorder="1" applyAlignment="1">
      <alignment horizontal="left" vertical="center"/>
    </xf>
    <xf numFmtId="0" fontId="23" fillId="13" borderId="27" xfId="0" applyFont="1" applyFill="1" applyBorder="1" applyAlignment="1">
      <alignment vertical="center"/>
    </xf>
    <xf numFmtId="9" fontId="23" fillId="13" borderId="27" xfId="0" applyNumberFormat="1" applyFont="1" applyFill="1" applyBorder="1" applyAlignment="1">
      <alignment horizontal="center" vertical="center"/>
    </xf>
    <xf numFmtId="1" fontId="23" fillId="13" borderId="40" xfId="0" applyNumberFormat="1" applyFont="1" applyFill="1" applyBorder="1" applyAlignment="1">
      <alignment horizontal="center" vertical="center"/>
    </xf>
    <xf numFmtId="164" fontId="23" fillId="13" borderId="40" xfId="2" applyNumberFormat="1" applyFont="1" applyFill="1" applyBorder="1" applyAlignment="1">
      <alignment horizontal="center" vertical="center"/>
    </xf>
    <xf numFmtId="0" fontId="37" fillId="13" borderId="34" xfId="0" applyFont="1" applyFill="1" applyBorder="1" applyAlignment="1">
      <alignment horizontal="center" vertical="center"/>
    </xf>
    <xf numFmtId="9" fontId="23" fillId="13" borderId="36" xfId="2" applyFont="1" applyFill="1" applyBorder="1" applyAlignment="1">
      <alignment horizontal="center" vertical="center"/>
    </xf>
    <xf numFmtId="0" fontId="15" fillId="18" borderId="0" xfId="0" applyFont="1" applyFill="1" applyAlignment="1">
      <alignment vertical="center"/>
    </xf>
    <xf numFmtId="0" fontId="23" fillId="13" borderId="41" xfId="0" applyFont="1" applyFill="1" applyBorder="1" applyAlignment="1">
      <alignment horizontal="center" vertical="center" wrapText="1"/>
    </xf>
    <xf numFmtId="0" fontId="21" fillId="13" borderId="41" xfId="0" applyFont="1" applyFill="1" applyBorder="1" applyAlignment="1">
      <alignment horizontal="left" vertical="center" wrapText="1"/>
    </xf>
    <xf numFmtId="0" fontId="21" fillId="13" borderId="37" xfId="0" applyFont="1" applyFill="1" applyBorder="1" applyAlignment="1">
      <alignment horizontal="left" vertical="center" wrapText="1"/>
    </xf>
    <xf numFmtId="0" fontId="21" fillId="13" borderId="38" xfId="0" applyFont="1" applyFill="1" applyBorder="1" applyAlignment="1">
      <alignment horizontal="left" vertical="center" wrapText="1"/>
    </xf>
    <xf numFmtId="0" fontId="21" fillId="13" borderId="37" xfId="0" applyFont="1" applyFill="1" applyBorder="1" applyAlignment="1">
      <alignment horizontal="center" vertical="center" wrapText="1"/>
    </xf>
    <xf numFmtId="0" fontId="21" fillId="13" borderId="38" xfId="0" applyFont="1" applyFill="1" applyBorder="1" applyAlignment="1">
      <alignment horizontal="center" vertical="center" wrapText="1"/>
    </xf>
    <xf numFmtId="0" fontId="21" fillId="13" borderId="41" xfId="0" applyFont="1" applyFill="1" applyBorder="1" applyAlignment="1">
      <alignment horizontal="left" vertical="center"/>
    </xf>
    <xf numFmtId="0" fontId="23" fillId="13" borderId="27" xfId="0" applyFont="1" applyFill="1" applyBorder="1" applyAlignment="1">
      <alignment horizontal="center" vertical="center"/>
    </xf>
    <xf numFmtId="0" fontId="12" fillId="13" borderId="27" xfId="0" applyFont="1" applyFill="1" applyBorder="1" applyAlignment="1">
      <alignment horizontal="center" vertical="center"/>
    </xf>
    <xf numFmtId="1" fontId="23" fillId="13" borderId="41" xfId="0" applyNumberFormat="1" applyFont="1" applyFill="1" applyBorder="1" applyAlignment="1">
      <alignment horizontal="center" vertical="center"/>
    </xf>
    <xf numFmtId="164" fontId="23" fillId="13" borderId="41" xfId="2" applyNumberFormat="1" applyFont="1" applyFill="1" applyBorder="1" applyAlignment="1">
      <alignment horizontal="center" vertical="center"/>
    </xf>
    <xf numFmtId="0" fontId="37" fillId="13" borderId="37" xfId="0" applyFont="1" applyFill="1" applyBorder="1" applyAlignment="1">
      <alignment horizontal="center" vertical="center"/>
    </xf>
    <xf numFmtId="9" fontId="23" fillId="13" borderId="38" xfId="2" applyFont="1" applyFill="1" applyBorder="1" applyAlignment="1">
      <alignment horizontal="center" vertical="center"/>
    </xf>
    <xf numFmtId="0" fontId="21" fillId="13" borderId="39" xfId="0" applyFont="1" applyFill="1" applyBorder="1" applyAlignment="1">
      <alignment horizontal="left" vertical="center" wrapText="1"/>
    </xf>
    <xf numFmtId="0" fontId="21" fillId="13" borderId="31" xfId="0" applyFont="1" applyFill="1" applyBorder="1" applyAlignment="1">
      <alignment horizontal="left" vertical="center" wrapText="1"/>
    </xf>
    <xf numFmtId="0" fontId="21" fillId="13" borderId="33" xfId="0" applyFont="1" applyFill="1" applyBorder="1" applyAlignment="1">
      <alignment horizontal="left" vertical="center" wrapText="1"/>
    </xf>
    <xf numFmtId="0" fontId="21" fillId="13" borderId="31"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9" xfId="0" applyFont="1" applyFill="1" applyBorder="1" applyAlignment="1">
      <alignment horizontal="left" vertical="center"/>
    </xf>
    <xf numFmtId="164" fontId="23" fillId="13" borderId="27" xfId="2" applyNumberFormat="1" applyFont="1" applyFill="1" applyBorder="1" applyAlignment="1">
      <alignment horizontal="center" vertical="center"/>
    </xf>
    <xf numFmtId="164" fontId="12" fillId="13" borderId="27" xfId="2" applyNumberFormat="1" applyFont="1" applyFill="1" applyBorder="1" applyAlignment="1">
      <alignment horizontal="center" vertical="center"/>
    </xf>
    <xf numFmtId="9" fontId="23" fillId="13" borderId="27" xfId="2" applyFont="1" applyFill="1" applyBorder="1" applyAlignment="1">
      <alignment horizontal="center" vertical="center"/>
    </xf>
    <xf numFmtId="1" fontId="23" fillId="13" borderId="39" xfId="0" applyNumberFormat="1" applyFont="1" applyFill="1" applyBorder="1" applyAlignment="1">
      <alignment horizontal="center" vertical="center"/>
    </xf>
    <xf numFmtId="164" fontId="23" fillId="13" borderId="39" xfId="2" applyNumberFormat="1" applyFont="1" applyFill="1" applyBorder="1" applyAlignment="1">
      <alignment horizontal="center" vertical="center"/>
    </xf>
    <xf numFmtId="0" fontId="37" fillId="13" borderId="31" xfId="0" applyFont="1" applyFill="1" applyBorder="1" applyAlignment="1">
      <alignment horizontal="center" vertical="center"/>
    </xf>
    <xf numFmtId="9" fontId="23" fillId="13" borderId="33" xfId="2" applyFont="1" applyFill="1" applyBorder="1" applyAlignment="1">
      <alignment horizontal="center" vertical="center"/>
    </xf>
    <xf numFmtId="0" fontId="38" fillId="13" borderId="34" xfId="0" applyFont="1" applyFill="1" applyBorder="1" applyAlignment="1">
      <alignment horizontal="center" vertical="center"/>
    </xf>
    <xf numFmtId="0" fontId="38" fillId="13" borderId="37" xfId="0" applyFont="1" applyFill="1" applyBorder="1" applyAlignment="1">
      <alignment horizontal="center" vertical="center"/>
    </xf>
    <xf numFmtId="0" fontId="38" fillId="13" borderId="31" xfId="0" applyFont="1" applyFill="1" applyBorder="1" applyAlignment="1">
      <alignment horizontal="center" vertical="center"/>
    </xf>
    <xf numFmtId="0" fontId="15" fillId="19" borderId="0" xfId="0" applyFont="1" applyFill="1" applyAlignment="1">
      <alignment vertical="center"/>
    </xf>
    <xf numFmtId="0" fontId="23" fillId="13" borderId="39" xfId="0" applyFont="1" applyFill="1" applyBorder="1" applyAlignment="1">
      <alignment horizontal="center" vertical="center" wrapText="1"/>
    </xf>
    <xf numFmtId="0" fontId="23" fillId="13" borderId="40" xfId="0" applyFont="1" applyFill="1" applyBorder="1" applyAlignment="1">
      <alignment horizontal="left" vertical="center"/>
    </xf>
    <xf numFmtId="0" fontId="25" fillId="13" borderId="34" xfId="0" applyFont="1" applyFill="1" applyBorder="1" applyAlignment="1">
      <alignment horizontal="center" vertical="center"/>
    </xf>
    <xf numFmtId="0" fontId="23" fillId="13" borderId="41" xfId="0" applyFont="1" applyFill="1" applyBorder="1" applyAlignment="1">
      <alignment horizontal="left" vertical="center"/>
    </xf>
    <xf numFmtId="0" fontId="25" fillId="13" borderId="37" xfId="0" applyFont="1" applyFill="1" applyBorder="1" applyAlignment="1">
      <alignment horizontal="center" vertical="center"/>
    </xf>
    <xf numFmtId="0" fontId="23" fillId="13" borderId="39" xfId="0" applyFont="1" applyFill="1" applyBorder="1" applyAlignment="1">
      <alignment horizontal="left" vertical="center"/>
    </xf>
    <xf numFmtId="0" fontId="25" fillId="13" borderId="31" xfId="0" applyFont="1" applyFill="1" applyBorder="1" applyAlignment="1">
      <alignment horizontal="center" vertical="center"/>
    </xf>
    <xf numFmtId="0" fontId="39" fillId="7" borderId="0" xfId="0" applyFont="1" applyFill="1" applyAlignment="1">
      <alignment horizontal="center" vertical="center"/>
    </xf>
    <xf numFmtId="1" fontId="39" fillId="9" borderId="0" xfId="0" applyNumberFormat="1" applyFont="1" applyFill="1" applyAlignment="1">
      <alignment horizontal="center" vertical="center"/>
    </xf>
    <xf numFmtId="0" fontId="28" fillId="13" borderId="34" xfId="0" applyFont="1" applyFill="1" applyBorder="1" applyAlignment="1">
      <alignment horizontal="center" vertical="center"/>
    </xf>
    <xf numFmtId="0" fontId="28" fillId="13" borderId="37" xfId="0" applyFont="1" applyFill="1" applyBorder="1" applyAlignment="1">
      <alignment horizontal="center" vertical="center"/>
    </xf>
    <xf numFmtId="0" fontId="28" fillId="13" borderId="31" xfId="0" applyFont="1" applyFill="1" applyBorder="1" applyAlignment="1">
      <alignment horizontal="center" vertical="center"/>
    </xf>
    <xf numFmtId="0" fontId="35" fillId="19" borderId="0" xfId="0" applyFont="1" applyFill="1" applyAlignment="1">
      <alignment vertical="center"/>
    </xf>
    <xf numFmtId="0" fontId="15" fillId="13" borderId="0" xfId="0" applyFont="1" applyFill="1" applyBorder="1" applyAlignment="1">
      <alignment horizontal="center" vertical="center" textRotation="255"/>
    </xf>
    <xf numFmtId="0" fontId="21" fillId="13" borderId="28" xfId="0" applyFont="1" applyFill="1" applyBorder="1" applyAlignment="1">
      <alignment horizontal="left" vertical="center" wrapText="1"/>
    </xf>
    <xf numFmtId="0" fontId="21" fillId="13" borderId="29" xfId="0" applyFont="1" applyFill="1" applyBorder="1" applyAlignment="1">
      <alignment horizontal="left" vertical="center" wrapText="1"/>
    </xf>
    <xf numFmtId="0" fontId="5" fillId="0" borderId="0" xfId="0" applyFont="1" applyAlignment="1">
      <alignment vertical="center"/>
    </xf>
    <xf numFmtId="0" fontId="8" fillId="16" borderId="19" xfId="0" applyFont="1" applyFill="1" applyBorder="1" applyAlignment="1">
      <alignment horizontal="center"/>
    </xf>
    <xf numFmtId="0" fontId="8" fillId="16" borderId="20" xfId="0" applyFont="1" applyFill="1" applyBorder="1" applyAlignment="1">
      <alignment horizontal="center"/>
    </xf>
    <xf numFmtId="0" fontId="8" fillId="16" borderId="21" xfId="0" applyFont="1" applyFill="1" applyBorder="1" applyAlignment="1">
      <alignment horizontal="center"/>
    </xf>
    <xf numFmtId="0" fontId="8" fillId="0" borderId="0" xfId="0" applyFont="1" applyAlignment="1">
      <alignment horizontal="center" vertical="center" wrapText="1"/>
    </xf>
    <xf numFmtId="0" fontId="8" fillId="0" borderId="22" xfId="0" applyFont="1" applyBorder="1"/>
    <xf numFmtId="0" fontId="40" fillId="0" borderId="0" xfId="0" applyFont="1" applyBorder="1" applyAlignment="1">
      <alignment vertical="center" wrapText="1"/>
    </xf>
    <xf numFmtId="0" fontId="40" fillId="0" borderId="23" xfId="0" applyFont="1" applyBorder="1" applyAlignment="1">
      <alignment vertical="center" wrapText="1"/>
    </xf>
    <xf numFmtId="0" fontId="0" fillId="10" borderId="0" xfId="0" applyFill="1"/>
    <xf numFmtId="0" fontId="8" fillId="0" borderId="0" xfId="0" applyFont="1" applyBorder="1"/>
    <xf numFmtId="0" fontId="8" fillId="0" borderId="23" xfId="0" applyFont="1" applyBorder="1"/>
    <xf numFmtId="0" fontId="8" fillId="0" borderId="20" xfId="0" applyFont="1" applyBorder="1"/>
    <xf numFmtId="0" fontId="8" fillId="0" borderId="21" xfId="0" applyFont="1" applyBorder="1"/>
    <xf numFmtId="0" fontId="8" fillId="0" borderId="43" xfId="0" applyFont="1" applyBorder="1"/>
    <xf numFmtId="0" fontId="8" fillId="0" borderId="44" xfId="0" applyFont="1" applyBorder="1"/>
    <xf numFmtId="0" fontId="8" fillId="0" borderId="45" xfId="0" applyFont="1" applyBorder="1"/>
    <xf numFmtId="0" fontId="8" fillId="0" borderId="20" xfId="0" applyFont="1" applyBorder="1" applyAlignment="1">
      <alignment horizontal="center"/>
    </xf>
    <xf numFmtId="0" fontId="8" fillId="0" borderId="0" xfId="0" applyFont="1" applyBorder="1" applyAlignment="1"/>
    <xf numFmtId="0" fontId="8" fillId="0" borderId="0" xfId="0" applyFont="1" applyBorder="1" applyAlignment="1">
      <alignment horizontal="center"/>
    </xf>
    <xf numFmtId="0" fontId="8" fillId="0" borderId="24" xfId="0" applyFont="1" applyBorder="1"/>
    <xf numFmtId="0" fontId="8" fillId="0" borderId="25" xfId="0" applyFont="1" applyBorder="1"/>
    <xf numFmtId="9" fontId="8" fillId="0" borderId="26" xfId="2" applyFont="1" applyBorder="1"/>
    <xf numFmtId="0" fontId="41" fillId="20" borderId="0" xfId="4" applyFont="1" applyFill="1"/>
    <xf numFmtId="0" fontId="41" fillId="0" borderId="0" xfId="4"/>
    <xf numFmtId="0" fontId="41" fillId="21" borderId="0" xfId="4" applyFont="1" applyFill="1"/>
    <xf numFmtId="0" fontId="42" fillId="0" borderId="0" xfId="4" applyFont="1" applyAlignment="1">
      <alignment wrapText="1"/>
    </xf>
    <xf numFmtId="0" fontId="43" fillId="0" borderId="46" xfId="4" applyFont="1" applyBorder="1"/>
    <xf numFmtId="1" fontId="44" fillId="3" borderId="47" xfId="4" applyNumberFormat="1" applyFont="1" applyFill="1" applyBorder="1"/>
    <xf numFmtId="0" fontId="8" fillId="11" borderId="47" xfId="4" applyFont="1" applyFill="1" applyBorder="1"/>
    <xf numFmtId="1" fontId="45" fillId="3" borderId="47" xfId="4" applyNumberFormat="1" applyFont="1" applyFill="1" applyBorder="1"/>
    <xf numFmtId="0" fontId="8" fillId="22" borderId="48" xfId="4" applyFont="1" applyFill="1" applyBorder="1"/>
    <xf numFmtId="0" fontId="8" fillId="22" borderId="49" xfId="4" applyFont="1" applyFill="1" applyBorder="1"/>
    <xf numFmtId="0" fontId="44" fillId="21" borderId="47" xfId="4" applyFont="1" applyFill="1" applyBorder="1"/>
    <xf numFmtId="0" fontId="43" fillId="0" borderId="50" xfId="4" applyFont="1" applyBorder="1"/>
    <xf numFmtId="1" fontId="44" fillId="3" borderId="51" xfId="4" applyNumberFormat="1" applyFont="1" applyFill="1" applyBorder="1"/>
    <xf numFmtId="0" fontId="8" fillId="11" borderId="51" xfId="4" applyFont="1" applyFill="1" applyBorder="1"/>
    <xf numFmtId="1" fontId="45" fillId="3" borderId="51" xfId="4" applyNumberFormat="1" applyFont="1" applyFill="1" applyBorder="1"/>
    <xf numFmtId="0" fontId="8" fillId="22" borderId="22" xfId="4" applyFont="1" applyFill="1" applyBorder="1"/>
    <xf numFmtId="0" fontId="8" fillId="22" borderId="23" xfId="4" applyFont="1" applyFill="1" applyBorder="1"/>
    <xf numFmtId="0" fontId="44" fillId="21" borderId="51" xfId="4" applyFont="1" applyFill="1" applyBorder="1"/>
    <xf numFmtId="1" fontId="45" fillId="3" borderId="51" xfId="4" applyNumberFormat="1" applyFont="1" applyFill="1" applyBorder="1" applyAlignment="1">
      <alignment horizontal="right"/>
    </xf>
    <xf numFmtId="1" fontId="45" fillId="3" borderId="52" xfId="4" applyNumberFormat="1" applyFont="1" applyFill="1" applyBorder="1"/>
    <xf numFmtId="3" fontId="44" fillId="3" borderId="51" xfId="4" applyNumberFormat="1" applyFont="1" applyFill="1" applyBorder="1"/>
    <xf numFmtId="3" fontId="45" fillId="3" borderId="51" xfId="4" applyNumberFormat="1" applyFont="1" applyFill="1" applyBorder="1"/>
    <xf numFmtId="0" fontId="8" fillId="22" borderId="19" xfId="4" applyFont="1" applyFill="1" applyBorder="1"/>
    <xf numFmtId="0" fontId="8" fillId="22" borderId="21" xfId="4" applyFont="1" applyFill="1" applyBorder="1"/>
    <xf numFmtId="3" fontId="45" fillId="3" borderId="52" xfId="4" applyNumberFormat="1" applyFont="1" applyFill="1" applyBorder="1"/>
    <xf numFmtId="0" fontId="8" fillId="22" borderId="24" xfId="4" applyFont="1" applyFill="1" applyBorder="1"/>
    <xf numFmtId="0" fontId="8" fillId="22" borderId="26" xfId="4" applyFont="1" applyFill="1" applyBorder="1"/>
    <xf numFmtId="0" fontId="41" fillId="18" borderId="0" xfId="4" applyFont="1" applyFill="1"/>
    <xf numFmtId="0" fontId="43" fillId="0" borderId="53" xfId="4" applyFont="1" applyBorder="1"/>
    <xf numFmtId="1" fontId="44" fillId="3" borderId="54" xfId="4" applyNumberFormat="1" applyFont="1" applyFill="1" applyBorder="1"/>
    <xf numFmtId="1" fontId="45" fillId="3" borderId="54" xfId="4" applyNumberFormat="1" applyFont="1" applyFill="1" applyBorder="1"/>
    <xf numFmtId="0" fontId="8" fillId="11" borderId="54" xfId="4" applyFont="1" applyFill="1" applyBorder="1"/>
    <xf numFmtId="0" fontId="8" fillId="22" borderId="55" xfId="4" applyFont="1" applyFill="1" applyBorder="1"/>
    <xf numFmtId="0" fontId="8" fillId="22" borderId="56" xfId="4" applyFont="1" applyFill="1" applyBorder="1"/>
    <xf numFmtId="0" fontId="45" fillId="20" borderId="54" xfId="4" applyFont="1" applyFill="1" applyBorder="1" applyAlignment="1">
      <alignment horizontal="center"/>
    </xf>
    <xf numFmtId="0" fontId="8" fillId="22" borderId="54" xfId="4" applyFont="1" applyFill="1" applyBorder="1"/>
    <xf numFmtId="0" fontId="8" fillId="0" borderId="54" xfId="4" applyFont="1" applyBorder="1"/>
    <xf numFmtId="0" fontId="8" fillId="0" borderId="57" xfId="4" applyFont="1" applyBorder="1"/>
    <xf numFmtId="0" fontId="46" fillId="21" borderId="58" xfId="4" applyFont="1" applyFill="1" applyBorder="1" applyAlignment="1">
      <alignment horizontal="center" vertical="center"/>
    </xf>
    <xf numFmtId="0" fontId="43" fillId="21" borderId="59" xfId="4" applyFont="1" applyFill="1" applyBorder="1"/>
    <xf numFmtId="0" fontId="44" fillId="3" borderId="58" xfId="4" applyFont="1" applyFill="1" applyBorder="1"/>
    <xf numFmtId="0" fontId="8" fillId="21" borderId="58" xfId="4" applyFont="1" applyFill="1" applyBorder="1"/>
    <xf numFmtId="0" fontId="44" fillId="21" borderId="58" xfId="4" applyFont="1" applyFill="1" applyBorder="1"/>
    <xf numFmtId="0" fontId="45" fillId="21" borderId="58" xfId="4" applyFont="1" applyFill="1" applyBorder="1"/>
    <xf numFmtId="0" fontId="8" fillId="0" borderId="58" xfId="4" applyFont="1" applyBorder="1"/>
    <xf numFmtId="3" fontId="45" fillId="21" borderId="58" xfId="4" applyNumberFormat="1" applyFont="1" applyFill="1" applyBorder="1" applyAlignment="1">
      <alignment horizontal="center" vertical="center"/>
    </xf>
    <xf numFmtId="0" fontId="47" fillId="21" borderId="58" xfId="4" applyFont="1" applyFill="1" applyBorder="1" applyAlignment="1">
      <alignment horizontal="center" vertical="center" wrapText="1"/>
    </xf>
    <xf numFmtId="0" fontId="43" fillId="0" borderId="0" xfId="4" applyFont="1" applyAlignment="1">
      <alignment horizontal="center" vertical="center"/>
    </xf>
    <xf numFmtId="0" fontId="44" fillId="23" borderId="2" xfId="4" applyFont="1" applyFill="1" applyBorder="1"/>
    <xf numFmtId="0" fontId="8" fillId="12" borderId="3" xfId="4" applyFont="1" applyFill="1" applyBorder="1"/>
    <xf numFmtId="0" fontId="43" fillId="15" borderId="3" xfId="4" applyFont="1" applyFill="1" applyBorder="1"/>
    <xf numFmtId="0" fontId="8" fillId="0" borderId="4" xfId="4" applyFont="1" applyBorder="1"/>
    <xf numFmtId="0" fontId="8" fillId="0" borderId="0" xfId="4" applyFont="1"/>
    <xf numFmtId="0" fontId="43" fillId="23" borderId="2" xfId="4" applyFont="1" applyFill="1" applyBorder="1" applyAlignment="1">
      <alignment horizontal="center"/>
    </xf>
    <xf numFmtId="0" fontId="43" fillId="23" borderId="3" xfId="4" applyFont="1" applyFill="1" applyBorder="1" applyAlignment="1">
      <alignment horizontal="center"/>
    </xf>
    <xf numFmtId="0" fontId="43" fillId="23" borderId="4" xfId="4" applyFont="1" applyFill="1" applyBorder="1" applyAlignment="1">
      <alignment horizontal="center"/>
    </xf>
    <xf numFmtId="0" fontId="43" fillId="19" borderId="1" xfId="4" applyFont="1" applyFill="1" applyBorder="1"/>
    <xf numFmtId="0" fontId="8" fillId="0" borderId="0" xfId="4" applyFont="1" applyAlignment="1">
      <alignment wrapText="1"/>
    </xf>
    <xf numFmtId="0" fontId="43" fillId="0" borderId="1" xfId="4" applyFont="1" applyBorder="1"/>
    <xf numFmtId="0" fontId="41" fillId="0" borderId="0" xfId="4" applyAlignment="1">
      <alignment horizontal="center"/>
    </xf>
    <xf numFmtId="0" fontId="23" fillId="0" borderId="0" xfId="4" applyFont="1" applyAlignment="1">
      <alignment horizontal="center" wrapText="1"/>
    </xf>
    <xf numFmtId="0" fontId="48" fillId="7" borderId="1" xfId="4" applyFont="1" applyFill="1" applyBorder="1"/>
    <xf numFmtId="9" fontId="48" fillId="0" borderId="1" xfId="5" applyFont="1" applyBorder="1" applyAlignment="1">
      <alignment horizontal="center" vertical="center"/>
    </xf>
    <xf numFmtId="0" fontId="49" fillId="0" borderId="0" xfId="4" applyFont="1" applyAlignment="1">
      <alignment horizontal="center" vertical="center" wrapText="1"/>
    </xf>
    <xf numFmtId="0" fontId="49" fillId="0" borderId="59" xfId="4" applyFont="1" applyBorder="1" applyAlignment="1">
      <alignment horizontal="center" vertical="center" wrapText="1"/>
    </xf>
    <xf numFmtId="0" fontId="49" fillId="0" borderId="60" xfId="4" applyFont="1" applyBorder="1" applyAlignment="1">
      <alignment horizontal="center" vertical="center" wrapText="1"/>
    </xf>
    <xf numFmtId="0" fontId="49" fillId="21" borderId="60" xfId="4" applyFont="1" applyFill="1" applyBorder="1" applyAlignment="1">
      <alignment horizontal="center" vertical="center" wrapText="1"/>
    </xf>
    <xf numFmtId="0" fontId="49" fillId="15" borderId="60" xfId="4" applyFont="1" applyFill="1" applyBorder="1" applyAlignment="1">
      <alignment horizontal="center" vertical="center" wrapText="1"/>
    </xf>
    <xf numFmtId="0" fontId="49" fillId="19" borderId="61" xfId="4" applyFont="1" applyFill="1" applyBorder="1" applyAlignment="1">
      <alignment horizontal="center" vertical="center" wrapText="1"/>
    </xf>
    <xf numFmtId="0" fontId="50" fillId="0" borderId="46" xfId="4" applyFont="1" applyBorder="1"/>
    <xf numFmtId="1" fontId="51" fillId="24" borderId="47" xfId="4" applyNumberFormat="1" applyFont="1" applyFill="1" applyBorder="1"/>
    <xf numFmtId="0" fontId="52" fillId="11" borderId="47" xfId="4" applyFont="1" applyFill="1" applyBorder="1"/>
    <xf numFmtId="1" fontId="46" fillId="24" borderId="47" xfId="4" applyNumberFormat="1" applyFont="1" applyFill="1" applyBorder="1"/>
    <xf numFmtId="0" fontId="41" fillId="22" borderId="48" xfId="4" applyFill="1" applyBorder="1"/>
    <xf numFmtId="0" fontId="41" fillId="22" borderId="49" xfId="4" applyFill="1" applyBorder="1"/>
    <xf numFmtId="0" fontId="53" fillId="21" borderId="47" xfId="4" applyFont="1" applyFill="1" applyBorder="1"/>
    <xf numFmtId="0" fontId="50" fillId="0" borderId="50" xfId="4" applyFont="1" applyBorder="1"/>
    <xf numFmtId="1" fontId="51" fillId="24" borderId="51" xfId="4" applyNumberFormat="1" applyFont="1" applyFill="1" applyBorder="1"/>
    <xf numFmtId="0" fontId="52" fillId="11" borderId="51" xfId="4" applyFont="1" applyFill="1" applyBorder="1"/>
    <xf numFmtId="1" fontId="46" fillId="24" borderId="51" xfId="4" applyNumberFormat="1" applyFont="1" applyFill="1" applyBorder="1"/>
    <xf numFmtId="0" fontId="41" fillId="22" borderId="22" xfId="4" applyFill="1" applyBorder="1"/>
    <xf numFmtId="0" fontId="41" fillId="22" borderId="23" xfId="4" applyFill="1" applyBorder="1"/>
    <xf numFmtId="0" fontId="53" fillId="21" borderId="51" xfId="4" applyFont="1" applyFill="1" applyBorder="1"/>
    <xf numFmtId="1" fontId="46" fillId="24" borderId="51" xfId="4" applyNumberFormat="1" applyFont="1" applyFill="1" applyBorder="1" applyAlignment="1">
      <alignment horizontal="right"/>
    </xf>
    <xf numFmtId="1" fontId="46" fillId="24" borderId="52" xfId="4" applyNumberFormat="1" applyFont="1" applyFill="1" applyBorder="1"/>
    <xf numFmtId="0" fontId="5" fillId="0" borderId="0" xfId="4" applyFont="1" applyAlignment="1">
      <alignment horizontal="center" wrapText="1"/>
    </xf>
    <xf numFmtId="0" fontId="41" fillId="0" borderId="0" xfId="4" applyFont="1" applyAlignment="1">
      <alignment horizontal="center" wrapText="1"/>
    </xf>
    <xf numFmtId="3" fontId="51" fillId="24" borderId="51" xfId="4" applyNumberFormat="1" applyFont="1" applyFill="1" applyBorder="1"/>
    <xf numFmtId="3" fontId="46" fillId="24" borderId="51" xfId="4" applyNumberFormat="1" applyFont="1" applyFill="1" applyBorder="1"/>
    <xf numFmtId="0" fontId="41" fillId="22" borderId="19" xfId="4" applyFill="1" applyBorder="1"/>
    <xf numFmtId="0" fontId="41" fillId="22" borderId="21" xfId="4" applyFill="1" applyBorder="1"/>
    <xf numFmtId="3" fontId="46" fillId="24" borderId="52" xfId="4" applyNumberFormat="1" applyFont="1" applyFill="1" applyBorder="1"/>
    <xf numFmtId="1" fontId="53" fillId="24" borderId="51" xfId="4" applyNumberFormat="1" applyFont="1" applyFill="1" applyBorder="1"/>
    <xf numFmtId="0" fontId="41" fillId="22" borderId="24" xfId="4" applyFill="1" applyBorder="1"/>
    <xf numFmtId="0" fontId="41" fillId="22" borderId="26" xfId="4" applyFill="1" applyBorder="1"/>
    <xf numFmtId="0" fontId="50" fillId="0" borderId="53" xfId="4" applyFont="1" applyBorder="1"/>
    <xf numFmtId="1" fontId="51" fillId="24" borderId="54" xfId="4" applyNumberFormat="1" applyFont="1" applyFill="1" applyBorder="1"/>
    <xf numFmtId="1" fontId="46" fillId="24" borderId="54" xfId="4" applyNumberFormat="1" applyFont="1" applyFill="1" applyBorder="1"/>
    <xf numFmtId="0" fontId="52" fillId="11" borderId="54" xfId="4" applyFont="1" applyFill="1" applyBorder="1"/>
    <xf numFmtId="0" fontId="41" fillId="22" borderId="55" xfId="4" applyFill="1" applyBorder="1"/>
    <xf numFmtId="0" fontId="41" fillId="22" borderId="56" xfId="4" applyFill="1" applyBorder="1"/>
    <xf numFmtId="0" fontId="46" fillId="20" borderId="54" xfId="4" applyFont="1" applyFill="1" applyBorder="1" applyAlignment="1">
      <alignment horizontal="center"/>
    </xf>
    <xf numFmtId="0" fontId="41" fillId="22" borderId="54" xfId="4" applyFill="1" applyBorder="1"/>
    <xf numFmtId="0" fontId="41" fillId="0" borderId="54" xfId="4" applyBorder="1"/>
    <xf numFmtId="0" fontId="41" fillId="0" borderId="57" xfId="4" applyBorder="1"/>
    <xf numFmtId="0" fontId="50" fillId="21" borderId="59" xfId="4" applyFont="1" applyFill="1" applyBorder="1"/>
    <xf numFmtId="0" fontId="51" fillId="24" borderId="58" xfId="4" applyFont="1" applyFill="1" applyBorder="1"/>
    <xf numFmtId="0" fontId="41" fillId="21" borderId="58" xfId="4" applyFill="1" applyBorder="1"/>
    <xf numFmtId="0" fontId="51" fillId="21" borderId="58" xfId="4" applyFont="1" applyFill="1" applyBorder="1"/>
    <xf numFmtId="0" fontId="54" fillId="21" borderId="58" xfId="4" applyFont="1" applyFill="1" applyBorder="1"/>
    <xf numFmtId="0" fontId="41" fillId="0" borderId="58" xfId="4" applyBorder="1"/>
    <xf numFmtId="3" fontId="54" fillId="21" borderId="58" xfId="4" applyNumberFormat="1" applyFont="1" applyFill="1" applyBorder="1" applyAlignment="1">
      <alignment horizontal="center" vertical="center"/>
    </xf>
    <xf numFmtId="0" fontId="50" fillId="0" borderId="0" xfId="4" applyFont="1" applyAlignment="1">
      <alignment horizontal="center" vertical="center"/>
    </xf>
    <xf numFmtId="0" fontId="55" fillId="23" borderId="2" xfId="4" applyFont="1" applyFill="1" applyBorder="1"/>
    <xf numFmtId="0" fontId="41" fillId="12" borderId="3" xfId="4" applyFill="1" applyBorder="1"/>
    <xf numFmtId="0" fontId="50" fillId="15" borderId="3" xfId="4" applyFont="1" applyFill="1" applyBorder="1"/>
    <xf numFmtId="0" fontId="41" fillId="0" borderId="4" xfId="4" applyBorder="1"/>
    <xf numFmtId="0" fontId="56" fillId="23" borderId="2" xfId="4" applyFont="1" applyFill="1" applyBorder="1" applyAlignment="1">
      <alignment horizontal="center"/>
    </xf>
    <xf numFmtId="0" fontId="56" fillId="23" borderId="3" xfId="4" applyFont="1" applyFill="1" applyBorder="1" applyAlignment="1">
      <alignment horizontal="center"/>
    </xf>
    <xf numFmtId="0" fontId="56" fillId="23" borderId="4" xfId="4" applyFont="1" applyFill="1" applyBorder="1" applyAlignment="1">
      <alignment horizontal="center"/>
    </xf>
    <xf numFmtId="0" fontId="50" fillId="19" borderId="1" xfId="4" applyFont="1" applyFill="1" applyBorder="1"/>
    <xf numFmtId="0" fontId="41" fillId="0" borderId="0" xfId="4" applyFont="1" applyAlignment="1">
      <alignment wrapText="1"/>
    </xf>
    <xf numFmtId="0" fontId="18" fillId="23" borderId="2" xfId="4" applyFont="1" applyFill="1" applyBorder="1" applyAlignment="1">
      <alignment horizontal="center"/>
    </xf>
    <xf numFmtId="0" fontId="18" fillId="23" borderId="3" xfId="4" applyFont="1" applyFill="1" applyBorder="1" applyAlignment="1">
      <alignment horizontal="center"/>
    </xf>
    <xf numFmtId="0" fontId="18" fillId="23" borderId="4" xfId="4" applyFont="1" applyFill="1" applyBorder="1" applyAlignment="1">
      <alignment horizontal="center"/>
    </xf>
    <xf numFmtId="0" fontId="57" fillId="0" borderId="1" xfId="4" applyFont="1" applyBorder="1"/>
    <xf numFmtId="0" fontId="41" fillId="9" borderId="0" xfId="4" applyFont="1" applyFill="1"/>
    <xf numFmtId="0" fontId="50" fillId="0" borderId="0" xfId="4" applyFont="1" applyAlignment="1">
      <alignment horizontal="center" vertical="center"/>
    </xf>
    <xf numFmtId="0" fontId="41" fillId="0" borderId="0" xfId="4" applyFont="1"/>
    <xf numFmtId="3" fontId="41" fillId="0" borderId="0" xfId="4" applyNumberFormat="1"/>
    <xf numFmtId="0" fontId="41" fillId="24" borderId="0" xfId="4" applyFont="1" applyFill="1"/>
    <xf numFmtId="0" fontId="41" fillId="24" borderId="0" xfId="4" applyFill="1" applyAlignment="1">
      <alignment horizontal="center"/>
    </xf>
    <xf numFmtId="0" fontId="41" fillId="24" borderId="0" xfId="4" applyFill="1"/>
    <xf numFmtId="0" fontId="19" fillId="24" borderId="1" xfId="4" applyFont="1" applyFill="1" applyBorder="1"/>
    <xf numFmtId="9" fontId="19" fillId="0" borderId="1" xfId="5" applyFont="1" applyBorder="1" applyAlignment="1">
      <alignment horizontal="center" vertic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23" fillId="0" borderId="40" xfId="0" applyFont="1" applyBorder="1" applyAlignment="1">
      <alignment horizontal="center" vertical="center"/>
    </xf>
    <xf numFmtId="167" fontId="23" fillId="0" borderId="40" xfId="0" applyNumberFormat="1" applyFont="1" applyBorder="1" applyAlignment="1">
      <alignment horizontal="center" vertical="center"/>
    </xf>
    <xf numFmtId="0" fontId="60" fillId="0" borderId="34" xfId="0" applyFont="1" applyBorder="1" applyAlignment="1">
      <alignment horizontal="center" vertical="center"/>
    </xf>
    <xf numFmtId="0" fontId="0" fillId="0" borderId="22" xfId="0" applyBorder="1"/>
    <xf numFmtId="0" fontId="0" fillId="0" borderId="0" xfId="0" applyBorder="1"/>
    <xf numFmtId="0" fontId="0" fillId="0" borderId="23" xfId="0" applyBorder="1"/>
    <xf numFmtId="0" fontId="0" fillId="0" borderId="19" xfId="0" applyBorder="1"/>
    <xf numFmtId="0" fontId="0" fillId="0" borderId="20" xfId="0" applyBorder="1"/>
    <xf numFmtId="0" fontId="0" fillId="0" borderId="21" xfId="0" applyBorder="1"/>
    <xf numFmtId="0" fontId="24" fillId="0" borderId="34" xfId="0" applyFont="1" applyBorder="1" applyAlignment="1">
      <alignment horizontal="left" vertical="center" wrapText="1"/>
    </xf>
    <xf numFmtId="0" fontId="24" fillId="0" borderId="36" xfId="0" applyFont="1" applyBorder="1" applyAlignment="1">
      <alignment horizontal="left" vertical="center" wrapText="1"/>
    </xf>
    <xf numFmtId="0" fontId="23" fillId="0" borderId="41" xfId="0" applyFont="1" applyBorder="1" applyAlignment="1">
      <alignment horizontal="center" vertical="center"/>
    </xf>
    <xf numFmtId="167" fontId="23" fillId="0" borderId="41" xfId="0" applyNumberFormat="1" applyFont="1" applyBorder="1" applyAlignment="1">
      <alignment horizontal="center" vertical="center"/>
    </xf>
    <xf numFmtId="0" fontId="60" fillId="0" borderId="37" xfId="0" applyFont="1" applyBorder="1" applyAlignment="1">
      <alignment horizontal="center" vertical="center"/>
    </xf>
    <xf numFmtId="167" fontId="23" fillId="0" borderId="27" xfId="0" applyNumberFormat="1" applyFont="1" applyBorder="1" applyAlignment="1">
      <alignment horizontal="center" vertical="center"/>
    </xf>
    <xf numFmtId="0" fontId="23" fillId="0" borderId="39" xfId="0" applyFont="1" applyBorder="1" applyAlignment="1">
      <alignment horizontal="center" vertical="center"/>
    </xf>
    <xf numFmtId="167" fontId="23" fillId="0" borderId="39" xfId="0" applyNumberFormat="1" applyFont="1" applyBorder="1" applyAlignment="1">
      <alignment horizontal="center" vertical="center"/>
    </xf>
    <xf numFmtId="0" fontId="60" fillId="0" borderId="31" xfId="0" applyFont="1" applyBorder="1" applyAlignment="1">
      <alignment horizontal="center" vertical="center"/>
    </xf>
    <xf numFmtId="10" fontId="23" fillId="0" borderId="27" xfId="0" applyNumberFormat="1" applyFont="1" applyBorder="1" applyAlignment="1">
      <alignment horizontal="center" vertical="center"/>
    </xf>
    <xf numFmtId="0" fontId="0" fillId="0" borderId="22" xfId="0" applyBorder="1" applyAlignment="1">
      <alignment vertical="center"/>
    </xf>
    <xf numFmtId="0" fontId="0" fillId="0" borderId="0" xfId="0" applyBorder="1" applyAlignment="1">
      <alignment vertical="center"/>
    </xf>
    <xf numFmtId="0" fontId="0" fillId="0" borderId="23" xfId="0" applyBorder="1" applyAlignment="1">
      <alignment vertical="center"/>
    </xf>
    <xf numFmtId="164" fontId="23" fillId="0" borderId="27" xfId="2" applyNumberFormat="1" applyFont="1" applyBorder="1" applyAlignment="1">
      <alignment horizontal="center" vertical="center"/>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39" xfId="0" applyFont="1" applyBorder="1" applyAlignment="1">
      <alignment horizontal="center" vertical="center" wrapText="1"/>
    </xf>
    <xf numFmtId="0" fontId="62" fillId="0" borderId="0" xfId="0" applyFont="1"/>
    <xf numFmtId="0" fontId="63" fillId="0" borderId="0" xfId="0" applyFont="1" applyAlignment="1">
      <alignment wrapText="1"/>
    </xf>
    <xf numFmtId="164" fontId="24" fillId="0" borderId="28" xfId="2" applyNumberFormat="1" applyFont="1" applyBorder="1" applyAlignment="1">
      <alignment horizontal="left" vertical="center" wrapText="1"/>
    </xf>
    <xf numFmtId="164" fontId="24" fillId="0" borderId="29" xfId="2" applyNumberFormat="1" applyFont="1" applyBorder="1" applyAlignment="1">
      <alignment horizontal="left" vertical="center" wrapText="1"/>
    </xf>
    <xf numFmtId="0" fontId="0" fillId="0" borderId="24" xfId="0" applyBorder="1"/>
    <xf numFmtId="0" fontId="0" fillId="0" borderId="25" xfId="0" applyBorder="1"/>
    <xf numFmtId="0" fontId="0" fillId="0" borderId="26" xfId="0" applyBorder="1"/>
    <xf numFmtId="0" fontId="17" fillId="0" borderId="0" xfId="0" applyFont="1"/>
    <xf numFmtId="0" fontId="64" fillId="0" borderId="0" xfId="0" applyFont="1"/>
    <xf numFmtId="0" fontId="21" fillId="0" borderId="40" xfId="0" applyFont="1" applyBorder="1" applyAlignment="1">
      <alignment horizontal="left" vertical="center" wrapText="1"/>
    </xf>
    <xf numFmtId="0" fontId="21" fillId="0" borderId="40" xfId="0" applyFont="1" applyBorder="1" applyAlignment="1">
      <alignment horizontal="left" vertical="center"/>
    </xf>
    <xf numFmtId="0" fontId="21" fillId="0" borderId="40" xfId="0" applyFont="1" applyBorder="1" applyAlignment="1">
      <alignment horizontal="center" vertical="center"/>
    </xf>
    <xf numFmtId="0" fontId="23" fillId="0" borderId="62" xfId="0" applyFont="1" applyBorder="1" applyAlignment="1">
      <alignment vertical="center"/>
    </xf>
    <xf numFmtId="0" fontId="25" fillId="0" borderId="28" xfId="0" applyFont="1" applyFill="1" applyBorder="1" applyAlignment="1">
      <alignment horizontal="center" vertical="center"/>
    </xf>
    <xf numFmtId="2" fontId="23" fillId="0" borderId="27" xfId="0" applyNumberFormat="1" applyFont="1" applyBorder="1" applyAlignment="1">
      <alignment horizontal="center" vertical="center"/>
    </xf>
    <xf numFmtId="0" fontId="21" fillId="0" borderId="40" xfId="0" applyFont="1" applyBorder="1" applyAlignment="1">
      <alignment horizontal="left" vertical="top" wrapText="1"/>
    </xf>
    <xf numFmtId="0" fontId="26" fillId="0" borderId="34" xfId="0" applyFont="1" applyFill="1" applyBorder="1" applyAlignment="1">
      <alignment horizontal="center" vertical="center"/>
    </xf>
    <xf numFmtId="0" fontId="21" fillId="0" borderId="41" xfId="0" applyFont="1" applyBorder="1" applyAlignment="1">
      <alignment horizontal="left" vertical="top" wrapText="1"/>
    </xf>
    <xf numFmtId="0" fontId="21" fillId="0" borderId="41" xfId="0" applyFont="1" applyBorder="1" applyAlignment="1">
      <alignment horizontal="center" vertical="center"/>
    </xf>
    <xf numFmtId="0" fontId="26" fillId="0" borderId="37" xfId="0" applyFont="1" applyFill="1" applyBorder="1" applyAlignment="1">
      <alignment horizontal="center" vertical="center"/>
    </xf>
    <xf numFmtId="0" fontId="21" fillId="0" borderId="39" xfId="0" applyFont="1" applyBorder="1" applyAlignment="1">
      <alignment horizontal="left" vertical="top" wrapText="1"/>
    </xf>
    <xf numFmtId="0" fontId="26" fillId="0" borderId="31" xfId="0" applyFont="1" applyFill="1" applyBorder="1" applyAlignment="1">
      <alignment horizontal="center" vertical="center"/>
    </xf>
    <xf numFmtId="0" fontId="25" fillId="0" borderId="34" xfId="0" applyFont="1" applyFill="1" applyBorder="1" applyAlignment="1">
      <alignment horizontal="center"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25" fillId="0" borderId="37" xfId="0" applyFont="1" applyFill="1" applyBorder="1" applyAlignment="1">
      <alignment horizontal="center" vertical="center"/>
    </xf>
    <xf numFmtId="0" fontId="0" fillId="0" borderId="31" xfId="0" applyBorder="1" applyAlignment="1">
      <alignment horizontal="left" vertical="center" wrapText="1"/>
    </xf>
    <xf numFmtId="0" fontId="0" fillId="0" borderId="33" xfId="0" applyBorder="1" applyAlignment="1">
      <alignment horizontal="left"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25" fillId="0" borderId="31" xfId="0" applyFont="1" applyFill="1" applyBorder="1" applyAlignment="1">
      <alignment horizontal="center" vertical="center"/>
    </xf>
    <xf numFmtId="0" fontId="23" fillId="0" borderId="27" xfId="0" applyNumberFormat="1" applyFont="1" applyBorder="1" applyAlignment="1">
      <alignment horizontal="center" vertical="center"/>
    </xf>
    <xf numFmtId="0" fontId="24" fillId="0" borderId="28" xfId="0" applyFont="1" applyBorder="1" applyAlignment="1">
      <alignment horizontal="left" vertical="center" wrapText="1"/>
    </xf>
    <xf numFmtId="0" fontId="24" fillId="0" borderId="29"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right"/>
    </xf>
    <xf numFmtId="0" fontId="31" fillId="0" borderId="0" xfId="0" applyFont="1"/>
    <xf numFmtId="16" fontId="0" fillId="0" borderId="0" xfId="0" applyNumberFormat="1"/>
    <xf numFmtId="0" fontId="0" fillId="0" borderId="63" xfId="0" applyBorder="1"/>
  </cellXfs>
  <cellStyles count="6">
    <cellStyle name="Incorrecto" xfId="3" builtinId="27"/>
    <cellStyle name="Millares" xfId="1" builtinId="3"/>
    <cellStyle name="Normal" xfId="0" builtinId="0"/>
    <cellStyle name="Normal 2" xfId="4"/>
    <cellStyle name="Porcentaje" xfId="2" builtinId="5"/>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611189</xdr:colOff>
      <xdr:row>0</xdr:row>
      <xdr:rowOff>0</xdr:rowOff>
    </xdr:from>
    <xdr:to>
      <xdr:col>2</xdr:col>
      <xdr:colOff>670322</xdr:colOff>
      <xdr:row>3</xdr:row>
      <xdr:rowOff>87604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314" y="0"/>
          <a:ext cx="897333" cy="8877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524847</xdr:colOff>
      <xdr:row>1</xdr:row>
      <xdr:rowOff>57962</xdr:rowOff>
    </xdr:from>
    <xdr:to>
      <xdr:col>3</xdr:col>
      <xdr:colOff>504825</xdr:colOff>
      <xdr:row>5</xdr:row>
      <xdr:rowOff>1261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6947" y="248462"/>
          <a:ext cx="1237278" cy="800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147636</xdr:colOff>
      <xdr:row>1</xdr:row>
      <xdr:rowOff>23812</xdr:rowOff>
    </xdr:from>
    <xdr:to>
      <xdr:col>2</xdr:col>
      <xdr:colOff>759363</xdr:colOff>
      <xdr:row>4</xdr:row>
      <xdr:rowOff>119062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9736" y="214312"/>
          <a:ext cx="764127"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0</xdr:row>
      <xdr:rowOff>66676</xdr:rowOff>
    </xdr:from>
    <xdr:to>
      <xdr:col>2</xdr:col>
      <xdr:colOff>40812</xdr:colOff>
      <xdr:row>5</xdr:row>
      <xdr:rowOff>85726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66676"/>
          <a:ext cx="974262" cy="971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0</xdr:row>
      <xdr:rowOff>123825</xdr:rowOff>
    </xdr:from>
    <xdr:to>
      <xdr:col>2</xdr:col>
      <xdr:colOff>12237</xdr:colOff>
      <xdr:row>5</xdr:row>
      <xdr:rowOff>142875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23825"/>
          <a:ext cx="974262" cy="971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0</xdr:row>
      <xdr:rowOff>38100</xdr:rowOff>
    </xdr:from>
    <xdr:to>
      <xdr:col>1</xdr:col>
      <xdr:colOff>964737</xdr:colOff>
      <xdr:row>5</xdr:row>
      <xdr:rowOff>57150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38100"/>
          <a:ext cx="974262" cy="9715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0</xdr:row>
      <xdr:rowOff>66675</xdr:rowOff>
    </xdr:from>
    <xdr:to>
      <xdr:col>1</xdr:col>
      <xdr:colOff>1079037</xdr:colOff>
      <xdr:row>5</xdr:row>
      <xdr:rowOff>85725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6675"/>
          <a:ext cx="974262" cy="971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0</xdr:row>
      <xdr:rowOff>0</xdr:rowOff>
    </xdr:from>
    <xdr:to>
      <xdr:col>2</xdr:col>
      <xdr:colOff>69387</xdr:colOff>
      <xdr:row>5</xdr:row>
      <xdr:rowOff>19050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0"/>
          <a:ext cx="974262" cy="9715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12237</xdr:colOff>
      <xdr:row>5</xdr:row>
      <xdr:rowOff>19050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0"/>
          <a:ext cx="974262" cy="971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blic/Documents/2%200%202%203/Indicadores%202023/T2%202023/GENERAL%20SEGUNDA%20iNSTANCIA%202021-2022%20T1_T4%20para%20indicaores,FEBRERO2023-ANUAL22%20Y%20ene-juni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ublic/Documents/2022/INDICADORES_TSJ/T%204/Sistema%20escritorio/GENERAL%20SEGUNDA%20iNSTANCIA%202021-2022%20T1,%20T2_%20T3%20y%20T4%20_para%20indicaores%2018%20ene%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ublic/Documents/2%200%202%203/Estad&#237;sticas%20Segunda%20Instancia/Indicadores%20Trimestre%201%202023%20Segunda%20Instancia/Segunda_Instancia_2021-2023_T1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ublic/Documentos%20p&#250;blicos/2%200%202%203/Estad&#237;sticas%20Sistema%20de%20Escritorio/GENERAL%20JUZGADOS%202021-2022%20_P_indicadores_%20Trim%203%20a%20sept%202023_CR_V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Public/Documentos%20p&#250;blicos/2%200%202%203/Indicadores%202023/T2%202023/GENERAL%20SEGUNDA%20iNSTANCIA%202021-2022%20T1_T4%20para%20indicaores,FEBRERO2023-ANUAL22%20Y%20ene-junio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Public/Documentos%20p&#250;blicos/2%200%202%203/Estad&#237;sticas%20Segunda%20Instancia/GENERAL%20SEGUNDA%20iNSTANCIA%202021-2022%20T1_T4%20para%20indicaores,FEBRERO2023-ANUAL22%20Y%20ene-SEPTIEMBRE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Public/Documentos%20p&#250;blicos/2%200%202%203/Indicadores%202023/T2%202023/GENERAL%20JUZGADOS%202021-2022%20ene-diciembre%20_P_indicadores_%20Trim%204%20ENE-JUNIO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RERO 2021 SALAS   "/>
      <sheetName val="MARZO 2021 SALAS   "/>
      <sheetName val="ABRIL 2021 SALAS   "/>
      <sheetName val="MAYO 2021 SALAS   "/>
      <sheetName val="JUNIO 2021 SALAS   "/>
      <sheetName val="JULIO 2021 SALAS "/>
      <sheetName val="AGOSTO 2021 SALAS  "/>
      <sheetName val="SEPTIEMBRE SALAS"/>
      <sheetName val="OCTUBRE SALAS"/>
      <sheetName val="NOVIEMBRE SALAS"/>
      <sheetName val="DICIEMBRE SALAS"/>
      <sheetName val="ABRIL2021-MARZO2022 "/>
      <sheetName val="ENERO-DICIEMBRE ANUAL2021"/>
      <sheetName val="2 0 2 2  -----&gt; "/>
      <sheetName val="ENERO2022 SALAS"/>
      <sheetName val="FEBRERO2022 SALAS   "/>
      <sheetName val="MARZO2022 SALAS"/>
      <sheetName val="T1__enero-marzo 2022 INIDIC"/>
      <sheetName val="ABRIL_SALAS2022"/>
      <sheetName val="MAYO_SALAS2022"/>
      <sheetName val="JUNIO_SALAS2022"/>
      <sheetName val="T2__abril-junio 2022 INIDIC"/>
      <sheetName val="JULIO_SALAS2022"/>
      <sheetName val="AGOSTO_SALAS2022"/>
      <sheetName val="SEPTIEMBRE_SALAS2022"/>
      <sheetName val="JULIO-SEPTIEMBRE_SALAS2022"/>
      <sheetName val="OCTUBRE_SALAS2022"/>
      <sheetName val="NOVIEMBRE_SALAS2022 "/>
      <sheetName val="DICIEMBRE_SALAS2022"/>
      <sheetName val="OCTUBRE-DICIEMBRE_SALAS2022"/>
      <sheetName val="A  N  U  A  L    S  A  L  A  S "/>
      <sheetName val="ENERO_SALAS2023"/>
      <sheetName val="FEBRERO_SALAS2023"/>
      <sheetName val="MARZO_SALAS2023"/>
      <sheetName val="ABRIL2022-FEBRERO2023"/>
      <sheetName val="ABRIL2022-MARZO2023"/>
      <sheetName val="ENERO-MARZO_SALAS2023"/>
      <sheetName val="ABRIL_SALAS2023"/>
      <sheetName val="MAYO_SALAS2023"/>
      <sheetName val="JUNIO_SALAS2023"/>
      <sheetName val="ABRIL-JUNIO_SALAS2023"/>
      <sheetName val="FEBRERO-SEPTIEMBRE ANUAL"/>
      <sheetName val="ENERO-JUNIO"/>
      <sheetName val="ENERO-MARZO"/>
      <sheetName val="ABRIL-JUNIO"/>
      <sheetName val="ENERO-JUNIO (TRIMESTR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289">
          <cell r="T289">
            <v>640</v>
          </cell>
        </row>
        <row r="294">
          <cell r="N294">
            <v>1</v>
          </cell>
          <cell r="O294">
            <v>1</v>
          </cell>
          <cell r="P294">
            <v>1</v>
          </cell>
          <cell r="S294">
            <v>0</v>
          </cell>
        </row>
        <row r="295">
          <cell r="N295">
            <v>9</v>
          </cell>
          <cell r="O295">
            <v>10</v>
          </cell>
          <cell r="P295">
            <v>0</v>
          </cell>
        </row>
      </sheetData>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RERO 2021 SALAS   "/>
      <sheetName val="MARZO 2021 SALAS   "/>
      <sheetName val="ABRIL 2021 SALAS   "/>
      <sheetName val="MAYO 2021 SALAS   "/>
      <sheetName val="JUNIO 2021 SALAS   "/>
      <sheetName val="JULIO 2021 SALAS "/>
      <sheetName val="AGOSTO 2021 SALAS  "/>
      <sheetName val="SEPTIEMBRE SALAS"/>
      <sheetName val="OCTUBRE SALAS"/>
      <sheetName val="NOVIEMBRE SALAS"/>
      <sheetName val="DICIEMBRE SALAS"/>
      <sheetName val="ABRIL2021-MARZO2022 "/>
      <sheetName val="ENERO-DICIEMBRE ANUAL2021"/>
      <sheetName val="2 0 2 2  -----&gt; "/>
      <sheetName val="ENERO2022 SALAS"/>
      <sheetName val="FEBRERO2022 SALAS   "/>
      <sheetName val="MARZO2022 SALAS"/>
      <sheetName val="T1__enero-marzo 2022 INIDIC"/>
      <sheetName val="ABRIL_SALAS2022"/>
      <sheetName val="MAYO_SALAS2022"/>
      <sheetName val="JUNIO_SALAS2022"/>
      <sheetName val="T2__abril-junio 2022 INIDIC"/>
      <sheetName val="JULIO_SALAS2022"/>
      <sheetName val="AGOSTO_SALAS2022"/>
      <sheetName val="SEPTIEMBRE_SALAS2022"/>
      <sheetName val="T3__jul-dept 2022 INIDIC"/>
      <sheetName val="T4__oct-dic 2022 INIDIC"/>
      <sheetName val="Hoja2"/>
      <sheetName val="FEBRERO-SEPTIEMBRE ANUAL"/>
      <sheetName val="ENERO-JUNIO"/>
      <sheetName val="ENERO-MARZO"/>
      <sheetName val="ABRIL-JUNIO"/>
      <sheetName val="ENERO-JUNIO (TRIMESTR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5">
          <cell r="T5">
            <v>586</v>
          </cell>
        </row>
        <row r="7">
          <cell r="T7">
            <v>0</v>
          </cell>
        </row>
        <row r="11">
          <cell r="T11">
            <v>31</v>
          </cell>
        </row>
      </sheetData>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4__oct-dic 2022 INIDIC"/>
      <sheetName val="FEBRERO 2021 SALAS   "/>
      <sheetName val="MARZO 2021 SALAS   "/>
      <sheetName val="ABRIL 2021 SALAS   "/>
      <sheetName val="MAYO 2021 SALAS   "/>
      <sheetName val="JUNIO 2021 SALAS   "/>
      <sheetName val="JULIO 2021 SALAS "/>
      <sheetName val="AGOSTO 2021 SALAS  "/>
      <sheetName val="SEPTIEMBRE SALAS"/>
      <sheetName val="OCTUBRE SALAS"/>
      <sheetName val="NOVIEMBRE SALAS"/>
      <sheetName val="DICIEMBRE SALAS"/>
      <sheetName val="ABRIL2021-MARZO2022 "/>
      <sheetName val="ENERO-DICIEMBRE ANUAL2021"/>
      <sheetName val="2 0 2 2  -----&gt; "/>
      <sheetName val="ENERO2022 SALAS"/>
      <sheetName val="FEBRERO2022 SALAS   "/>
      <sheetName val="MARZO2022 SALAS"/>
      <sheetName val="T1__enero-marzo 2022 INIDIC"/>
      <sheetName val="ABRIL_SALAS2022"/>
      <sheetName val="MAYO_SALAS2022"/>
      <sheetName val="JUNIO_SALAS2022"/>
      <sheetName val="T2__abril-junio 2022 INIDIC"/>
      <sheetName val="JULIO_SALAS2022"/>
      <sheetName val="AGOSTO_SALAS2022"/>
      <sheetName val="SEPTIEMBRE_SALAS2022"/>
      <sheetName val="JULIO-SEPTIEMBRE_SALAS2022"/>
      <sheetName val="OCTUBRE_SALAS2022"/>
      <sheetName val="NOVIEMBRE_SALAS2022 "/>
      <sheetName val="DICIEMBRE_SALAS2022"/>
      <sheetName val="OCTUBRE-DICIEMBRE_SALAS2022"/>
      <sheetName val="A  N  U  A  L    S  A  L  A  S "/>
      <sheetName val="ENERO_SALAS2023"/>
      <sheetName val="FEBRERO_SALAS2023"/>
      <sheetName val="MARZO_SALAS2023"/>
      <sheetName val="ENERO-MARZO2023T1"/>
      <sheetName val="T1-2023"/>
      <sheetName val="ABRIL2022-FEBRERO2023"/>
      <sheetName val="ABRIL2022-MARZO2023"/>
      <sheetName val="Hoja2"/>
      <sheetName val="Hoja1"/>
      <sheetName val="FEBRERO-SEPTIEMBRE ANUAL"/>
      <sheetName val="ENERO-JUNIO"/>
      <sheetName val="ENERO-MARZO"/>
      <sheetName val="ABRIL-JUNIO"/>
      <sheetName val="ENERO-JUNIO (TRIMESTR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5">
          <cell r="Q5">
            <v>4</v>
          </cell>
        </row>
        <row r="15">
          <cell r="T15">
            <v>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J Tradicional Trim1"/>
      <sheetName val="ENERO2021"/>
      <sheetName val="FEBRERO2021"/>
      <sheetName val="MARZO2021"/>
      <sheetName val="ABRIL21"/>
      <sheetName val="MAYO21"/>
      <sheetName val="JUNIO21"/>
      <sheetName val="JULIO21"/>
      <sheetName val="AGOSTO21"/>
      <sheetName val="SEPTIEMBRE21"/>
      <sheetName val="OCTUBRE21"/>
      <sheetName val="NOVIEMBRE21"/>
      <sheetName val="ENERO-OCTUBRE 2021"/>
      <sheetName val="DICIEMBRE21"/>
      <sheetName val="ENERO-DIC"/>
      <sheetName val="ENE-OCT SIN FORMULA"/>
      <sheetName val="ENERO-NOV"/>
      <sheetName val="ABRIL21-MARZO22  SIN FORMUL OK"/>
      <sheetName val="ABRIL2021-MARZO2022 "/>
      <sheetName val="Indicadores Prueba 2021"/>
      <sheetName val="ENERO22"/>
      <sheetName val="FEBRERO22"/>
      <sheetName val="MARZO22"/>
      <sheetName val="ENERO-MARZO2022"/>
      <sheetName val="ABRIL22"/>
      <sheetName val="MAYO22"/>
      <sheetName val="JUNIO22"/>
      <sheetName val="ABRIL-JUNIO22"/>
      <sheetName val="JULIO22"/>
      <sheetName val="AGOSTO22"/>
      <sheetName val="SEPTIEMBRE22"/>
      <sheetName val="T3__Jul-Sept_2022"/>
      <sheetName val="OCTUBRE22"/>
      <sheetName val="NOVIEMBRE22"/>
      <sheetName val="DICIEMBRE22"/>
      <sheetName val="T4__Oct-Dic_2022"/>
      <sheetName val="ENERO2023"/>
      <sheetName val="FEBRERO 2023"/>
      <sheetName val="MARZO 2023"/>
      <sheetName val="ABRIL2022-FEBRER2023"/>
      <sheetName val="ABRIL2022-MARZO2023"/>
      <sheetName val="ENERO-MARZO2023"/>
      <sheetName val="ABRIL 2023"/>
      <sheetName val="MAYO 2023"/>
      <sheetName val="JUNIO 2023"/>
      <sheetName val="ABRIL-JUNIO2023"/>
      <sheetName val="ENERO-JUNIO2023"/>
      <sheetName val="JULIO 2023"/>
      <sheetName val="AGOSTO 2023"/>
      <sheetName val="SEPTIEMBRE 2023"/>
      <sheetName val="ENE-AGOSTO 2023"/>
      <sheetName val="MARZO-AGOSTO 2023"/>
      <sheetName val="JULIO- SEPTIEMBRE 2023 "/>
      <sheetName val="ENERO-SEPTIEMBRE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row r="3">
          <cell r="AB3">
            <v>905</v>
          </cell>
        </row>
        <row r="67">
          <cell r="AB67">
            <v>14</v>
          </cell>
        </row>
        <row r="157">
          <cell r="AB157">
            <v>150</v>
          </cell>
        </row>
        <row r="240">
          <cell r="AB240">
            <v>4</v>
          </cell>
        </row>
        <row r="241">
          <cell r="AB241">
            <v>23</v>
          </cell>
        </row>
        <row r="397">
          <cell r="G397">
            <v>10</v>
          </cell>
        </row>
        <row r="448">
          <cell r="G448">
            <v>67</v>
          </cell>
        </row>
        <row r="449">
          <cell r="G449">
            <v>143</v>
          </cell>
        </row>
      </sheetData>
      <sheetData sheetId="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RERO 2021 SALAS   "/>
      <sheetName val="MARZO 2021 SALAS   "/>
      <sheetName val="ABRIL 2021 SALAS   "/>
      <sheetName val="MAYO 2021 SALAS   "/>
      <sheetName val="JUNIO 2021 SALAS   "/>
      <sheetName val="JULIO 2021 SALAS "/>
      <sheetName val="AGOSTO 2021 SALAS  "/>
      <sheetName val="SEPTIEMBRE SALAS"/>
      <sheetName val="OCTUBRE SALAS"/>
      <sheetName val="NOVIEMBRE SALAS"/>
      <sheetName val="DICIEMBRE SALAS"/>
      <sheetName val="ABRIL2021-MARZO2022 "/>
      <sheetName val="ENERO-DICIEMBRE ANUAL2021"/>
      <sheetName val="2 0 2 2  -----&gt; "/>
      <sheetName val="ENERO2022 SALAS"/>
      <sheetName val="FEBRERO2022 SALAS   "/>
      <sheetName val="MARZO2022 SALAS"/>
      <sheetName val="T1__enero-marzo 2022 INIDIC"/>
      <sheetName val="ABRIL_SALAS2022"/>
      <sheetName val="MAYO_SALAS2022"/>
      <sheetName val="JUNIO_SALAS2022"/>
      <sheetName val="T2__abril-junio 2022 INIDIC"/>
      <sheetName val="JULIO_SALAS2022"/>
      <sheetName val="AGOSTO_SALAS2022"/>
      <sheetName val="SEPTIEMBRE_SALAS2022"/>
      <sheetName val="JULIO-SEPTIEMBRE_SALAS2022"/>
      <sheetName val="OCTUBRE_SALAS2022"/>
      <sheetName val="NOVIEMBRE_SALAS2022 "/>
      <sheetName val="DICIEMBRE_SALAS2022"/>
      <sheetName val="OCTUBRE-DICIEMBRE_SALAS2022"/>
      <sheetName val="A  N  U  A  L    S  A  L  A  S "/>
      <sheetName val="ENERO_SALAS2023"/>
      <sheetName val="FEBRERO_SALAS2023"/>
      <sheetName val="MARZO_SALAS2023"/>
      <sheetName val="ABRIL2022-FEBRERO2023"/>
      <sheetName val="ABRIL2022-MARZO2023"/>
      <sheetName val="ENERO-MARZO_SALAS2023"/>
      <sheetName val="ABRIL_SALAS2023"/>
      <sheetName val="MAYO_SALAS2023"/>
      <sheetName val="JUNIO_SALAS2023"/>
      <sheetName val="ABRIL-JUNIO_SALAS2023OK"/>
      <sheetName val="cifras_SALAS2023"/>
      <sheetName val="JULIO_SALAS2023"/>
      <sheetName val="AGOSTO_SALAS2023"/>
      <sheetName val="SEPTIEMBRE_SALAS2023"/>
      <sheetName val="JULIO-SEPT_SALAS2023"/>
      <sheetName val="FEBRERO-SEPTIEMBRE ANUAL"/>
      <sheetName val="ENERO-JUNIO"/>
      <sheetName val="ENERO-MARZO"/>
      <sheetName val="ABRIL-JUNIO"/>
      <sheetName val="ENERO-JUNIO (TRIMESTR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289">
          <cell r="T289">
            <v>596</v>
          </cell>
        </row>
        <row r="294">
          <cell r="N294">
            <v>2</v>
          </cell>
          <cell r="O294">
            <v>1</v>
          </cell>
          <cell r="P294">
            <v>0</v>
          </cell>
          <cell r="S294">
            <v>0</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RERO 2021 SALAS   "/>
      <sheetName val="MARZO 2021 SALAS   "/>
      <sheetName val="ABRIL 2021 SALAS   "/>
      <sheetName val="MAYO 2021 SALAS   "/>
      <sheetName val="JUNIO 2021 SALAS   "/>
      <sheetName val="JULIO 2021 SALAS "/>
      <sheetName val="AGOSTO 2021 SALAS  "/>
      <sheetName val="SEPTIEMBRE SALAS"/>
      <sheetName val="OCTUBRE SALAS"/>
      <sheetName val="NOVIEMBRE SALAS"/>
      <sheetName val="DICIEMBRE SALAS"/>
      <sheetName val="ABRIL2021-MARZO2022 "/>
      <sheetName val="ENERO-DICIEMBRE ANUAL2021"/>
      <sheetName val="2 0 2 2  -----&gt; "/>
      <sheetName val="ENERO2022 SALAS"/>
      <sheetName val="FEBRERO2022 SALAS   "/>
      <sheetName val="MARZO2022 SALAS"/>
      <sheetName val="T1__enero-marzo 2022 INIDIC"/>
      <sheetName val="ABRIL_SALAS2022"/>
      <sheetName val="MAYO_SALAS2022"/>
      <sheetName val="JUNIO_SALAS2022"/>
      <sheetName val="T2__abril-junio 2022 INIDIC"/>
      <sheetName val="JULIO_SALAS2022"/>
      <sheetName val="AGOSTO_SALAS2022"/>
      <sheetName val="SEPTIEMBRE_SALAS2022"/>
      <sheetName val="JULIO-SEPTIEMBRE_SALAS2022"/>
      <sheetName val="OCTUBRE_SALAS2022"/>
      <sheetName val="NOVIEMBRE_SALAS2022 "/>
      <sheetName val="DICIEMBRE_SALAS2022"/>
      <sheetName val="OCTUBRE-DICIEMBRE_SALAS2022"/>
      <sheetName val="A  N  U  A  L    S  A  L  A  S "/>
      <sheetName val="ENERO_SALAS2023"/>
      <sheetName val="FEBRERO_SALAS2023"/>
      <sheetName val="MARZO_SALAS2023"/>
      <sheetName val="ABRIL2022-FEBRERO2023"/>
      <sheetName val="ABRIL2022-MARZO2023"/>
      <sheetName val="ENERO-MARZO_SALAS2023"/>
      <sheetName val="ABRIL_SALAS2023"/>
      <sheetName val="MAYO_SALAS2023"/>
      <sheetName val="JUNIO_SALAS2023"/>
      <sheetName val="ABRIL-JUNIO_SALAS2023"/>
      <sheetName val="JULIO_SALAS2023"/>
      <sheetName val="AGOSTO_SALAS2023"/>
      <sheetName val="SEPTIEMBRE_SALAS2023"/>
      <sheetName val="JULIO-SEPT_SALAS2023"/>
      <sheetName val="FEBRERO-SEPTIEMBRE ANUAL"/>
      <sheetName val="ENERO-JUNIO"/>
      <sheetName val="ENERO-MARZO"/>
      <sheetName val="ABRIL-JUNIO"/>
      <sheetName val="ENERO-JUNIO (TRIMESTR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row r="289">
          <cell r="Q289">
            <v>6</v>
          </cell>
          <cell r="S289">
            <v>152</v>
          </cell>
          <cell r="T289">
            <v>596</v>
          </cell>
        </row>
        <row r="295">
          <cell r="N295">
            <v>16</v>
          </cell>
          <cell r="O295">
            <v>16</v>
          </cell>
          <cell r="P295">
            <v>0</v>
          </cell>
        </row>
        <row r="308">
          <cell r="T308">
            <v>382</v>
          </cell>
        </row>
      </sheetData>
      <sheetData sheetId="45" refreshError="1"/>
      <sheetData sheetId="46" refreshError="1"/>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J Tradicional Trim1"/>
      <sheetName val="ENERO2021"/>
      <sheetName val="FEBRERO2021"/>
      <sheetName val="MARZO2021"/>
      <sheetName val="ABRIL21"/>
      <sheetName val="MAYO21"/>
      <sheetName val="JUNIO21"/>
      <sheetName val="JULIO21"/>
      <sheetName val="AGOSTO21"/>
      <sheetName val="SEPTIEMBRE21"/>
      <sheetName val="OCTUBRE21"/>
      <sheetName val="NOVIEMBRE21"/>
      <sheetName val="ENERO-OCTUBRE 2021"/>
      <sheetName val="DICIEMBRE21"/>
      <sheetName val="ENERO-DIC"/>
      <sheetName val="ENE-OCT SIN FORMULA"/>
      <sheetName val="ENERO-NOV"/>
      <sheetName val="ABRIL21-MARZO22  SIN FORMUL OK"/>
      <sheetName val="ABRIL2021-MARZO2022 "/>
      <sheetName val="Indicadores Prueba 2021"/>
      <sheetName val="ENERO22"/>
      <sheetName val="FEBRERO22"/>
      <sheetName val="MARZO22"/>
      <sheetName val="ENERO-MARZO2022"/>
      <sheetName val="ABRIL22"/>
      <sheetName val="MAYO22"/>
      <sheetName val="JUNIO22"/>
      <sheetName val="ABRIL-JUNIO22"/>
      <sheetName val="JULIO22"/>
      <sheetName val="AGOSTO22"/>
      <sheetName val="SEPTIEMBRE22"/>
      <sheetName val="T3__Jul-Sept_2022"/>
      <sheetName val="OCTUBRE22"/>
      <sheetName val="NOVIEMBRE22"/>
      <sheetName val="DICIEMBRE22"/>
      <sheetName val="T4__Oct-Dic_2022"/>
      <sheetName val="ENERO2023"/>
      <sheetName val="FEBRERO 2023"/>
      <sheetName val="MARZO 2023"/>
      <sheetName val="ABRIL2022-FEBRER2023"/>
      <sheetName val="ABRIL2022-MARZO2023"/>
      <sheetName val="ENERO-MARZO2023"/>
      <sheetName val="ABRIL 2023"/>
      <sheetName val="MAYO 2023"/>
      <sheetName val="JUNIO 2023"/>
      <sheetName val="ABRIL-JUNIO2023"/>
      <sheetName val="JULIO 2023"/>
      <sheetName val="AGOSTO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row r="3">
          <cell r="AB3">
            <v>923</v>
          </cell>
        </row>
        <row r="616">
          <cell r="B616">
            <v>4</v>
          </cell>
        </row>
      </sheetData>
      <sheetData sheetId="46" refreshError="1"/>
      <sheetData sheetId="4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Q250"/>
  <sheetViews>
    <sheetView topLeftCell="A2" workbookViewId="0">
      <selection activeCell="B15" sqref="B15:M15"/>
    </sheetView>
  </sheetViews>
  <sheetFormatPr baseColWidth="10" defaultRowHeight="15" x14ac:dyDescent="0.25"/>
  <cols>
    <col min="1" max="1" width="3.5703125" bestFit="1" customWidth="1"/>
    <col min="2" max="2" width="12" customWidth="1"/>
    <col min="3" max="3" width="18.85546875" customWidth="1"/>
    <col min="4" max="4" width="19.42578125" customWidth="1"/>
    <col min="5" max="5" width="8.85546875" customWidth="1"/>
    <col min="9" max="9" width="9" customWidth="1"/>
    <col min="10" max="10" width="8.28515625" bestFit="1" customWidth="1"/>
    <col min="11" max="11" width="9.5703125" bestFit="1" customWidth="1"/>
    <col min="12" max="12" width="10.28515625" customWidth="1"/>
    <col min="13" max="13" width="9.85546875" customWidth="1"/>
    <col min="14" max="14" width="6.5703125" customWidth="1"/>
    <col min="15" max="15" width="6.28515625" customWidth="1"/>
    <col min="16" max="19" width="8.5703125" customWidth="1"/>
    <col min="20" max="21" width="7.28515625" customWidth="1"/>
    <col min="22" max="22" width="7.42578125" customWidth="1"/>
    <col min="23" max="23" width="8.28515625" customWidth="1"/>
    <col min="24" max="24" width="1.5703125" customWidth="1"/>
    <col min="25" max="25" width="6.140625" hidden="1" customWidth="1"/>
    <col min="26" max="26" width="11.7109375" hidden="1" customWidth="1"/>
    <col min="27" max="27" width="7.85546875" hidden="1" customWidth="1"/>
    <col min="28" max="28" width="9.140625" hidden="1" customWidth="1"/>
    <col min="29" max="29" width="7.140625" hidden="1" customWidth="1"/>
    <col min="30" max="30" width="7.28515625" hidden="1" customWidth="1"/>
    <col min="31" max="31" width="10.28515625" hidden="1" customWidth="1"/>
    <col min="32" max="32" width="10.5703125" hidden="1" customWidth="1"/>
    <col min="33" max="42" width="8.140625" hidden="1" customWidth="1"/>
    <col min="43" max="43" width="8.28515625" hidden="1" customWidth="1"/>
    <col min="44" max="44" width="6" hidden="1" customWidth="1"/>
    <col min="45" max="45" width="8.140625" hidden="1" customWidth="1"/>
    <col min="46" max="55" width="11.42578125" hidden="1" customWidth="1"/>
    <col min="56" max="64" width="9.7109375" hidden="1" customWidth="1"/>
    <col min="65" max="69" width="11.42578125" hidden="1" customWidth="1"/>
    <col min="70" max="73" width="11.42578125" customWidth="1"/>
  </cols>
  <sheetData>
    <row r="1" spans="2:65" hidden="1" x14ac:dyDescent="0.25">
      <c r="B1">
        <v>1</v>
      </c>
      <c r="C1">
        <v>2</v>
      </c>
      <c r="D1">
        <v>3</v>
      </c>
      <c r="E1">
        <v>4</v>
      </c>
      <c r="F1">
        <v>5</v>
      </c>
      <c r="G1">
        <v>6</v>
      </c>
      <c r="H1">
        <v>7</v>
      </c>
      <c r="I1">
        <v>8</v>
      </c>
      <c r="J1">
        <v>9</v>
      </c>
      <c r="K1">
        <v>10</v>
      </c>
      <c r="N1">
        <v>11</v>
      </c>
      <c r="P1">
        <v>12</v>
      </c>
      <c r="Q1">
        <v>13</v>
      </c>
      <c r="R1">
        <v>14</v>
      </c>
      <c r="S1">
        <v>15</v>
      </c>
      <c r="T1">
        <v>16</v>
      </c>
      <c r="U1">
        <v>17</v>
      </c>
      <c r="W1">
        <v>18</v>
      </c>
    </row>
    <row r="2" spans="2:65" ht="23.25" x14ac:dyDescent="0.35">
      <c r="D2" s="123" t="s">
        <v>121</v>
      </c>
      <c r="E2" s="123"/>
      <c r="F2" s="123"/>
      <c r="G2" s="123"/>
      <c r="H2" s="123"/>
      <c r="I2" s="123"/>
      <c r="J2" s="123"/>
      <c r="K2" s="123"/>
      <c r="L2" s="123"/>
      <c r="M2" s="123"/>
      <c r="N2" s="123"/>
      <c r="O2" s="123"/>
      <c r="P2" s="123"/>
      <c r="Q2" s="123"/>
      <c r="R2" s="123"/>
      <c r="S2" s="123"/>
      <c r="T2" s="123"/>
      <c r="U2" s="123"/>
      <c r="V2" s="123"/>
      <c r="W2" s="123"/>
    </row>
    <row r="3" spans="2:65" ht="23.25" x14ac:dyDescent="0.35">
      <c r="D3" s="123" t="s">
        <v>122</v>
      </c>
      <c r="E3" s="123"/>
      <c r="F3" s="123"/>
      <c r="G3" s="123"/>
      <c r="H3" s="123"/>
      <c r="I3" s="123"/>
      <c r="J3" s="123"/>
      <c r="K3" s="123"/>
      <c r="L3" s="123"/>
      <c r="M3" s="123"/>
      <c r="N3" s="123"/>
      <c r="O3" s="123"/>
      <c r="P3" s="123"/>
      <c r="Q3" s="123"/>
      <c r="R3" s="123"/>
      <c r="S3" s="123"/>
      <c r="T3" s="123"/>
      <c r="U3" s="123"/>
      <c r="V3" s="123"/>
      <c r="W3" s="123"/>
    </row>
    <row r="6" spans="2:65" ht="19.5" thickBot="1" x14ac:dyDescent="0.35">
      <c r="B6" s="124" t="s">
        <v>123</v>
      </c>
      <c r="C6" s="124"/>
      <c r="D6" s="124"/>
      <c r="E6" s="124"/>
      <c r="F6" s="124"/>
      <c r="G6" s="124"/>
      <c r="H6" s="124"/>
      <c r="I6" s="124"/>
      <c r="J6" s="124"/>
      <c r="K6" s="124"/>
      <c r="L6" s="124"/>
      <c r="M6" s="124"/>
      <c r="N6" s="124"/>
      <c r="O6" s="124"/>
      <c r="P6" s="124"/>
      <c r="Q6" s="124"/>
      <c r="R6" s="124"/>
      <c r="S6" s="124"/>
      <c r="T6" s="124"/>
      <c r="U6" s="124"/>
      <c r="V6" s="124"/>
      <c r="W6" s="124"/>
    </row>
    <row r="7" spans="2:65" ht="42" customHeight="1" thickBot="1" x14ac:dyDescent="0.3">
      <c r="B7" s="125" t="s">
        <v>124</v>
      </c>
      <c r="C7" s="126" t="s">
        <v>125</v>
      </c>
      <c r="D7" s="127"/>
      <c r="E7" s="125" t="s">
        <v>126</v>
      </c>
      <c r="F7" s="126" t="s">
        <v>127</v>
      </c>
      <c r="G7" s="127"/>
      <c r="H7" s="125" t="s">
        <v>128</v>
      </c>
      <c r="I7" s="128" t="s">
        <v>129</v>
      </c>
      <c r="J7" s="129"/>
      <c r="K7" s="129"/>
      <c r="L7" s="129"/>
      <c r="M7" s="129"/>
      <c r="N7" s="129"/>
      <c r="O7" s="130"/>
      <c r="P7" s="131" t="s">
        <v>130</v>
      </c>
      <c r="Q7" s="131"/>
      <c r="R7" s="131"/>
      <c r="S7" s="131"/>
      <c r="T7" s="132" t="s">
        <v>131</v>
      </c>
      <c r="U7" s="133"/>
      <c r="V7" s="133"/>
      <c r="W7" s="134"/>
      <c r="AC7">
        <f>3.2*AB19</f>
        <v>63.088639999999998</v>
      </c>
    </row>
    <row r="8" spans="2:65" ht="15.75" thickBot="1" x14ac:dyDescent="0.3">
      <c r="B8" s="135" t="s">
        <v>132</v>
      </c>
      <c r="C8" s="135"/>
      <c r="D8" s="135"/>
      <c r="E8" s="135"/>
      <c r="F8" s="135"/>
      <c r="G8" s="135"/>
      <c r="H8" s="135"/>
      <c r="I8" s="135"/>
      <c r="J8" s="135"/>
      <c r="K8" s="135"/>
      <c r="L8" s="135"/>
      <c r="M8" s="135"/>
      <c r="N8" s="135"/>
      <c r="O8" s="135"/>
      <c r="P8" s="135"/>
      <c r="Q8" s="135"/>
      <c r="R8" s="135"/>
      <c r="S8" s="135"/>
      <c r="T8" s="135"/>
      <c r="U8" s="135"/>
      <c r="V8" s="135"/>
      <c r="W8" s="135"/>
      <c r="AC8">
        <f>1.8*AB20</f>
        <v>35.487360000000002</v>
      </c>
    </row>
    <row r="9" spans="2:65" ht="15.75" thickBot="1" x14ac:dyDescent="0.3">
      <c r="B9" s="136" t="s">
        <v>133</v>
      </c>
      <c r="C9" s="136"/>
      <c r="D9" s="136"/>
      <c r="E9" s="136"/>
      <c r="F9" s="137" t="s">
        <v>134</v>
      </c>
      <c r="G9" s="137"/>
      <c r="H9" s="137"/>
      <c r="I9" s="137"/>
      <c r="J9" s="138" t="s">
        <v>135</v>
      </c>
      <c r="K9" s="139"/>
      <c r="L9" s="139"/>
      <c r="M9" s="139"/>
      <c r="N9" s="139"/>
      <c r="O9" s="139"/>
      <c r="P9" s="139"/>
      <c r="Q9" s="139"/>
      <c r="R9" s="139"/>
      <c r="S9" s="139"/>
      <c r="T9" s="140"/>
      <c r="U9" s="138" t="s">
        <v>136</v>
      </c>
      <c r="V9" s="139"/>
      <c r="W9" s="140"/>
    </row>
    <row r="10" spans="2:65" ht="18" customHeight="1" thickBot="1" x14ac:dyDescent="0.3">
      <c r="B10" s="141" t="s">
        <v>137</v>
      </c>
      <c r="C10" s="142" t="s">
        <v>138</v>
      </c>
      <c r="D10" s="143"/>
      <c r="E10" s="144"/>
      <c r="F10" s="128" t="s">
        <v>139</v>
      </c>
      <c r="G10" s="129"/>
      <c r="H10" s="129"/>
      <c r="I10" s="130"/>
      <c r="J10" s="145" t="s">
        <v>5</v>
      </c>
      <c r="K10" s="128" t="s">
        <v>140</v>
      </c>
      <c r="L10" s="129"/>
      <c r="M10" s="129"/>
      <c r="N10" s="129"/>
      <c r="O10" s="129"/>
      <c r="P10" s="129"/>
      <c r="Q10" s="129"/>
      <c r="R10" s="129"/>
      <c r="S10" s="129"/>
      <c r="T10" s="130"/>
      <c r="U10" s="146" t="s">
        <v>141</v>
      </c>
      <c r="V10" s="147"/>
      <c r="W10" s="148"/>
    </row>
    <row r="11" spans="2:65" ht="25.5" customHeight="1" thickBot="1" x14ac:dyDescent="0.3">
      <c r="B11" s="141" t="s">
        <v>142</v>
      </c>
      <c r="C11" s="126" t="s">
        <v>143</v>
      </c>
      <c r="D11" s="149"/>
      <c r="E11" s="127"/>
      <c r="F11" s="128" t="s">
        <v>144</v>
      </c>
      <c r="G11" s="129"/>
      <c r="H11" s="129"/>
      <c r="I11" s="130"/>
      <c r="J11" s="145" t="s">
        <v>6</v>
      </c>
      <c r="K11" s="126" t="s">
        <v>145</v>
      </c>
      <c r="L11" s="149"/>
      <c r="M11" s="149"/>
      <c r="N11" s="149"/>
      <c r="O11" s="149"/>
      <c r="P11" s="149"/>
      <c r="Q11" s="149"/>
      <c r="R11" s="149"/>
      <c r="S11" s="149"/>
      <c r="T11" s="127"/>
      <c r="U11" s="150"/>
      <c r="V11" s="151"/>
      <c r="W11" s="152"/>
      <c r="AQ11">
        <f>69-32</f>
        <v>37</v>
      </c>
      <c r="AR11">
        <f>+AQ11-18</f>
        <v>19</v>
      </c>
    </row>
    <row r="12" spans="2:65" ht="50.25" customHeight="1" thickBot="1" x14ac:dyDescent="0.3">
      <c r="B12" s="145" t="s">
        <v>6</v>
      </c>
      <c r="C12" s="126" t="s">
        <v>146</v>
      </c>
      <c r="D12" s="149"/>
      <c r="E12" s="127"/>
      <c r="F12" s="126" t="s">
        <v>147</v>
      </c>
      <c r="G12" s="149"/>
      <c r="H12" s="149"/>
      <c r="I12" s="127"/>
      <c r="J12" s="145" t="s">
        <v>148</v>
      </c>
      <c r="K12" s="142" t="s">
        <v>149</v>
      </c>
      <c r="L12" s="143"/>
      <c r="M12" s="143"/>
      <c r="N12" s="143"/>
      <c r="O12" s="143"/>
      <c r="P12" s="143"/>
      <c r="Q12" s="143"/>
      <c r="R12" s="143"/>
      <c r="S12" s="143"/>
      <c r="T12" s="144"/>
      <c r="U12" s="153" t="s">
        <v>150</v>
      </c>
      <c r="V12" s="154"/>
      <c r="W12" s="155"/>
      <c r="Z12" s="156" t="s">
        <v>151</v>
      </c>
      <c r="AA12" s="156"/>
      <c r="AB12" s="156"/>
      <c r="AC12" s="156"/>
      <c r="AD12" s="156"/>
      <c r="AF12" s="157">
        <v>2085243</v>
      </c>
      <c r="AG12" s="157" t="s">
        <v>152</v>
      </c>
      <c r="AH12" s="158"/>
      <c r="AI12" s="158"/>
      <c r="AJ12" s="158"/>
      <c r="AK12" s="158"/>
      <c r="AL12" s="158"/>
      <c r="AM12" s="158"/>
      <c r="AN12" s="158"/>
      <c r="AO12" s="158"/>
      <c r="AP12" s="158"/>
      <c r="AQ12" s="158"/>
      <c r="AR12" s="158"/>
      <c r="AS12" s="158"/>
      <c r="BJ12">
        <f>32+24+1+4</f>
        <v>61</v>
      </c>
      <c r="BM12">
        <f>32+47</f>
        <v>79</v>
      </c>
    </row>
    <row r="13" spans="2:65" ht="15.75" thickBot="1" x14ac:dyDescent="0.3">
      <c r="B13" s="138" t="s">
        <v>153</v>
      </c>
      <c r="C13" s="139"/>
      <c r="D13" s="139"/>
      <c r="E13" s="139"/>
      <c r="F13" s="139"/>
      <c r="G13" s="139"/>
      <c r="H13" s="139"/>
      <c r="I13" s="139"/>
      <c r="J13" s="139"/>
      <c r="K13" s="139"/>
      <c r="L13" s="139"/>
      <c r="M13" s="140"/>
      <c r="N13" s="138" t="s">
        <v>154</v>
      </c>
      <c r="O13" s="139"/>
      <c r="P13" s="139"/>
      <c r="Q13" s="139"/>
      <c r="R13" s="139"/>
      <c r="S13" s="139"/>
      <c r="T13" s="139"/>
      <c r="U13" s="139"/>
      <c r="V13" s="139"/>
      <c r="W13" s="140"/>
    </row>
    <row r="14" spans="2:65" ht="15.75" thickBot="1" x14ac:dyDescent="0.3">
      <c r="B14" s="159" t="s">
        <v>155</v>
      </c>
      <c r="C14" s="160" t="s">
        <v>156</v>
      </c>
      <c r="D14" s="161"/>
      <c r="E14" s="159" t="s">
        <v>157</v>
      </c>
      <c r="F14" s="160" t="s">
        <v>158</v>
      </c>
      <c r="G14" s="161"/>
      <c r="H14" s="159" t="s">
        <v>159</v>
      </c>
      <c r="I14" s="162" t="s">
        <v>160</v>
      </c>
      <c r="J14" s="163"/>
      <c r="K14" s="163"/>
      <c r="L14" s="163"/>
      <c r="M14" s="164"/>
      <c r="N14" s="165" t="s">
        <v>161</v>
      </c>
      <c r="O14" s="166"/>
      <c r="P14" s="160" t="s">
        <v>162</v>
      </c>
      <c r="Q14" s="167"/>
      <c r="R14" s="161"/>
      <c r="S14" s="159" t="s">
        <v>163</v>
      </c>
      <c r="T14" s="160" t="s">
        <v>164</v>
      </c>
      <c r="U14" s="167"/>
      <c r="V14" s="167"/>
      <c r="W14" s="161"/>
    </row>
    <row r="15" spans="2:65" ht="15.75" thickBot="1" x14ac:dyDescent="0.3">
      <c r="B15" s="168" t="s">
        <v>165</v>
      </c>
      <c r="C15" s="169"/>
      <c r="D15" s="169"/>
      <c r="E15" s="169"/>
      <c r="F15" s="169"/>
      <c r="G15" s="169"/>
      <c r="H15" s="169"/>
      <c r="I15" s="169"/>
      <c r="J15" s="169"/>
      <c r="K15" s="169"/>
      <c r="L15" s="169"/>
      <c r="M15" s="170"/>
      <c r="N15" s="171" t="s">
        <v>166</v>
      </c>
      <c r="O15" s="172"/>
      <c r="P15" s="173" t="s">
        <v>167</v>
      </c>
      <c r="Q15" s="174"/>
      <c r="R15" s="174"/>
      <c r="S15" s="174"/>
      <c r="T15" s="137" t="s">
        <v>168</v>
      </c>
      <c r="U15" s="137"/>
      <c r="V15" s="138" t="s">
        <v>169</v>
      </c>
      <c r="W15" s="140"/>
      <c r="Y15" s="19" t="s">
        <v>170</v>
      </c>
      <c r="Z15" s="19" t="s">
        <v>171</v>
      </c>
      <c r="AA15" s="19"/>
      <c r="AB15" s="19"/>
      <c r="AC15" s="19"/>
      <c r="AD15" s="19"/>
    </row>
    <row r="16" spans="2:65" ht="18.75" customHeight="1" thickBot="1" x14ac:dyDescent="0.3">
      <c r="B16" s="175" t="s">
        <v>3</v>
      </c>
      <c r="C16" s="175" t="s">
        <v>6</v>
      </c>
      <c r="D16" s="175" t="s">
        <v>172</v>
      </c>
      <c r="E16" s="176" t="s">
        <v>173</v>
      </c>
      <c r="F16" s="177"/>
      <c r="G16" s="176" t="s">
        <v>174</v>
      </c>
      <c r="H16" s="177"/>
      <c r="I16" s="175" t="s">
        <v>175</v>
      </c>
      <c r="J16" s="175" t="s">
        <v>176</v>
      </c>
      <c r="K16" s="175" t="s">
        <v>9</v>
      </c>
      <c r="L16" s="175" t="s">
        <v>11</v>
      </c>
      <c r="M16" s="175" t="s">
        <v>177</v>
      </c>
      <c r="N16" s="178"/>
      <c r="O16" s="179"/>
      <c r="P16" s="180"/>
      <c r="Q16" s="181"/>
      <c r="R16" s="181"/>
      <c r="S16" s="181"/>
      <c r="T16" s="182" t="s">
        <v>178</v>
      </c>
      <c r="U16" s="183"/>
      <c r="V16" s="184" t="s">
        <v>35</v>
      </c>
      <c r="W16" s="185" t="s">
        <v>179</v>
      </c>
    </row>
    <row r="17" spans="1:65" ht="18.75" customHeight="1" x14ac:dyDescent="0.25">
      <c r="B17" s="186"/>
      <c r="C17" s="186"/>
      <c r="D17" s="186"/>
      <c r="E17" s="187"/>
      <c r="F17" s="188"/>
      <c r="G17" s="187"/>
      <c r="H17" s="188"/>
      <c r="I17" s="186"/>
      <c r="J17" s="186"/>
      <c r="K17" s="186"/>
      <c r="L17" s="186"/>
      <c r="M17" s="186"/>
      <c r="N17" s="189" t="s">
        <v>180</v>
      </c>
      <c r="O17" s="189" t="s">
        <v>181</v>
      </c>
      <c r="P17" s="189" t="s">
        <v>182</v>
      </c>
      <c r="Q17" s="190" t="s">
        <v>183</v>
      </c>
      <c r="R17" s="191" t="s">
        <v>184</v>
      </c>
      <c r="S17" s="189" t="s">
        <v>185</v>
      </c>
      <c r="T17" s="189" t="s">
        <v>186</v>
      </c>
      <c r="U17" s="192" t="s">
        <v>27</v>
      </c>
      <c r="V17" s="193" t="s">
        <v>36</v>
      </c>
      <c r="W17" s="194" t="s">
        <v>187</v>
      </c>
      <c r="AA17" s="195" t="s">
        <v>188</v>
      </c>
      <c r="AB17" s="196"/>
      <c r="AC17" s="196"/>
      <c r="AD17" s="197"/>
      <c r="AE17" s="195" t="s">
        <v>189</v>
      </c>
      <c r="AF17" s="196"/>
      <c r="AG17" s="196"/>
      <c r="AH17" s="197"/>
      <c r="AI17" s="195" t="s">
        <v>190</v>
      </c>
      <c r="AJ17" s="196"/>
      <c r="AK17" s="196"/>
      <c r="AL17" s="197"/>
      <c r="AM17" s="195" t="s">
        <v>191</v>
      </c>
      <c r="AN17" s="196"/>
      <c r="AO17" s="196"/>
      <c r="AP17" s="197"/>
      <c r="AQ17" s="197"/>
      <c r="AR17" s="197"/>
      <c r="AS17" s="197"/>
      <c r="BD17" s="198" t="s">
        <v>192</v>
      </c>
      <c r="BE17" s="198"/>
      <c r="BF17" s="198"/>
      <c r="BG17" s="198"/>
      <c r="BH17" s="19"/>
    </row>
    <row r="18" spans="1:65" ht="15.75" thickBot="1" x14ac:dyDescent="0.3">
      <c r="B18" s="199"/>
      <c r="C18" s="199"/>
      <c r="D18" s="199"/>
      <c r="E18" s="200"/>
      <c r="F18" s="201"/>
      <c r="G18" s="200"/>
      <c r="H18" s="201"/>
      <c r="I18" s="199"/>
      <c r="J18" s="199"/>
      <c r="K18" s="199"/>
      <c r="L18" s="199"/>
      <c r="M18" s="199"/>
      <c r="N18" s="202"/>
      <c r="O18" s="202"/>
      <c r="P18" s="202"/>
      <c r="Q18" s="203"/>
      <c r="R18" s="204"/>
      <c r="S18" s="202"/>
      <c r="T18" s="202"/>
      <c r="U18" s="205"/>
      <c r="V18" s="206" t="s">
        <v>37</v>
      </c>
      <c r="W18" s="207" t="s">
        <v>193</v>
      </c>
      <c r="AA18" s="195"/>
      <c r="AB18" s="196"/>
      <c r="AC18" s="196"/>
      <c r="AD18" s="197"/>
      <c r="AE18" s="195"/>
      <c r="AF18" s="196"/>
      <c r="AG18" s="196"/>
      <c r="AH18" s="197"/>
      <c r="AI18" s="195"/>
      <c r="AJ18" s="196"/>
      <c r="AK18" s="196"/>
      <c r="AL18" s="197"/>
      <c r="AM18" s="195"/>
      <c r="AN18" s="196"/>
      <c r="AO18" s="196"/>
      <c r="AP18" s="197"/>
      <c r="AQ18" s="197"/>
      <c r="AR18" s="197"/>
      <c r="AS18" s="197"/>
      <c r="AU18">
        <v>1</v>
      </c>
      <c r="AV18">
        <v>2</v>
      </c>
      <c r="AW18">
        <v>3</v>
      </c>
      <c r="AX18">
        <v>4</v>
      </c>
      <c r="AY18">
        <v>5</v>
      </c>
      <c r="AZ18">
        <v>6</v>
      </c>
      <c r="BA18">
        <v>7</v>
      </c>
      <c r="BB18">
        <v>8</v>
      </c>
      <c r="BC18">
        <v>9</v>
      </c>
      <c r="BD18" s="19" t="s">
        <v>194</v>
      </c>
      <c r="BE18" s="19" t="s">
        <v>195</v>
      </c>
      <c r="BF18" s="19" t="s">
        <v>196</v>
      </c>
      <c r="BG18" s="19" t="s">
        <v>197</v>
      </c>
      <c r="BH18" s="19" t="s">
        <v>198</v>
      </c>
      <c r="BJ18" s="19" t="s">
        <v>199</v>
      </c>
      <c r="BK18" s="19" t="s">
        <v>200</v>
      </c>
      <c r="BL18" s="19" t="s">
        <v>201</v>
      </c>
      <c r="BM18" s="19" t="s">
        <v>202</v>
      </c>
    </row>
    <row r="19" spans="1:65" ht="45.75" thickBot="1" x14ac:dyDescent="0.3">
      <c r="B19" s="208" t="s">
        <v>203</v>
      </c>
      <c r="C19" s="209" t="s">
        <v>204</v>
      </c>
      <c r="D19" s="210" t="s">
        <v>205</v>
      </c>
      <c r="E19" s="211" t="s">
        <v>206</v>
      </c>
      <c r="F19" s="211"/>
      <c r="G19" s="212" t="s">
        <v>207</v>
      </c>
      <c r="H19" s="212"/>
      <c r="I19" s="213" t="s">
        <v>208</v>
      </c>
      <c r="J19" s="213" t="s">
        <v>209</v>
      </c>
      <c r="K19" s="213" t="s">
        <v>10</v>
      </c>
      <c r="L19" s="213" t="s">
        <v>12</v>
      </c>
      <c r="M19" s="213" t="s">
        <v>19</v>
      </c>
      <c r="N19" s="145">
        <v>2021</v>
      </c>
      <c r="O19" s="214">
        <v>3.2</v>
      </c>
      <c r="P19" s="214">
        <v>3.2</v>
      </c>
      <c r="Q19" s="215">
        <v>3.2</v>
      </c>
      <c r="R19" s="215">
        <v>3.2</v>
      </c>
      <c r="S19" s="214">
        <v>3.2</v>
      </c>
      <c r="T19" s="216">
        <v>63</v>
      </c>
      <c r="U19" s="217">
        <v>3.2</v>
      </c>
      <c r="V19" s="218" t="s">
        <v>35</v>
      </c>
      <c r="W19" s="219">
        <f>+U19/O19-1</f>
        <v>0</v>
      </c>
      <c r="Y19">
        <v>2</v>
      </c>
      <c r="Z19">
        <v>17</v>
      </c>
      <c r="AA19" s="220">
        <v>63</v>
      </c>
      <c r="AB19" s="220">
        <f>1971520/100000</f>
        <v>19.715199999999999</v>
      </c>
      <c r="AC19" s="221">
        <f>+AA19/AB19</f>
        <v>3.1955039766271711</v>
      </c>
      <c r="AD19" s="221"/>
      <c r="AE19" s="222"/>
      <c r="AF19" s="222"/>
      <c r="AG19" s="221"/>
      <c r="AH19" s="221"/>
      <c r="AI19" s="221"/>
      <c r="AJ19" s="220"/>
      <c r="AK19" s="221"/>
      <c r="AL19" s="221"/>
      <c r="AM19" s="221"/>
      <c r="AN19" s="220"/>
      <c r="AO19" s="221"/>
      <c r="AP19" s="221"/>
      <c r="AQ19" s="221"/>
      <c r="AR19" s="221"/>
      <c r="AS19" s="221"/>
      <c r="BJ19" s="220">
        <v>24</v>
      </c>
      <c r="BK19" s="220">
        <v>1</v>
      </c>
      <c r="BL19" s="220">
        <v>4</v>
      </c>
      <c r="BM19" s="220">
        <v>18</v>
      </c>
    </row>
    <row r="20" spans="1:65" ht="75" customHeight="1" thickBot="1" x14ac:dyDescent="0.3">
      <c r="B20" s="223"/>
      <c r="C20" s="224"/>
      <c r="D20" s="210" t="s">
        <v>210</v>
      </c>
      <c r="E20" s="126" t="s">
        <v>211</v>
      </c>
      <c r="F20" s="127"/>
      <c r="G20" s="132" t="s">
        <v>212</v>
      </c>
      <c r="H20" s="134"/>
      <c r="I20" s="213" t="s">
        <v>208</v>
      </c>
      <c r="J20" s="213" t="s">
        <v>213</v>
      </c>
      <c r="K20" s="213" t="s">
        <v>10</v>
      </c>
      <c r="L20" s="213" t="s">
        <v>12</v>
      </c>
      <c r="M20" s="213" t="s">
        <v>19</v>
      </c>
      <c r="N20" s="145">
        <v>2021</v>
      </c>
      <c r="O20" s="214">
        <v>1.8</v>
      </c>
      <c r="P20" s="214">
        <v>1.8</v>
      </c>
      <c r="Q20" s="215">
        <v>1.8</v>
      </c>
      <c r="R20" s="215">
        <v>1.8</v>
      </c>
      <c r="S20" s="214">
        <v>1.8</v>
      </c>
      <c r="T20" s="225">
        <v>32</v>
      </c>
      <c r="U20" s="226">
        <v>1.8</v>
      </c>
      <c r="V20" s="218" t="s">
        <v>35</v>
      </c>
      <c r="W20" s="219">
        <f>+U20/O20-1</f>
        <v>0</v>
      </c>
      <c r="AA20" s="220">
        <v>35</v>
      </c>
      <c r="AB20" s="220">
        <f>1971520/100000</f>
        <v>19.715199999999999</v>
      </c>
      <c r="AC20" s="221">
        <f>+AA20/AB20</f>
        <v>1.775279987015095</v>
      </c>
      <c r="AD20" s="221"/>
      <c r="AE20" s="222"/>
      <c r="AF20" s="222"/>
      <c r="AG20" s="221"/>
      <c r="AH20" s="221"/>
      <c r="AI20" s="220"/>
      <c r="AJ20" s="220"/>
      <c r="AK20" s="221"/>
      <c r="AL20" s="221"/>
      <c r="AM20" s="221"/>
      <c r="AN20" s="220"/>
      <c r="AO20" s="221"/>
      <c r="AP20" s="221"/>
      <c r="AQ20" s="221"/>
      <c r="AR20" s="221"/>
      <c r="AS20" s="221"/>
      <c r="AT20">
        <f>SUM(AU20:BH20)</f>
        <v>32</v>
      </c>
      <c r="AU20">
        <v>10</v>
      </c>
      <c r="AV20">
        <v>1</v>
      </c>
      <c r="AW20">
        <v>1</v>
      </c>
      <c r="AX20">
        <v>3</v>
      </c>
      <c r="AY20">
        <v>2</v>
      </c>
      <c r="AZ20">
        <v>3</v>
      </c>
      <c r="BA20">
        <v>1</v>
      </c>
      <c r="BB20">
        <v>2</v>
      </c>
      <c r="BC20">
        <v>3</v>
      </c>
      <c r="BD20">
        <v>2</v>
      </c>
      <c r="BE20">
        <v>1</v>
      </c>
      <c r="BF20">
        <v>1</v>
      </c>
      <c r="BG20">
        <v>1</v>
      </c>
      <c r="BH20">
        <v>1</v>
      </c>
    </row>
    <row r="21" spans="1:65" ht="30" customHeight="1" thickBot="1" x14ac:dyDescent="0.3">
      <c r="B21" s="208" t="s">
        <v>214</v>
      </c>
      <c r="C21" s="209" t="s">
        <v>215</v>
      </c>
      <c r="D21" s="209" t="s">
        <v>216</v>
      </c>
      <c r="E21" s="227" t="s">
        <v>217</v>
      </c>
      <c r="F21" s="228"/>
      <c r="G21" s="176" t="s">
        <v>218</v>
      </c>
      <c r="H21" s="177"/>
      <c r="I21" s="229" t="s">
        <v>25</v>
      </c>
      <c r="J21" s="229" t="s">
        <v>209</v>
      </c>
      <c r="K21" s="229" t="s">
        <v>10</v>
      </c>
      <c r="L21" s="229" t="s">
        <v>12</v>
      </c>
      <c r="M21" s="229" t="s">
        <v>23</v>
      </c>
      <c r="N21" s="145">
        <v>2022</v>
      </c>
      <c r="O21" s="230">
        <v>0.35</v>
      </c>
      <c r="P21" s="230">
        <v>0.35</v>
      </c>
      <c r="Q21" s="230">
        <v>0.35</v>
      </c>
      <c r="R21" s="230">
        <v>0.35</v>
      </c>
      <c r="S21" s="230">
        <v>0.35</v>
      </c>
      <c r="T21" s="231">
        <f>SUM(P22:S22)</f>
        <v>7873</v>
      </c>
      <c r="U21" s="232">
        <f>+AS21</f>
        <v>0.38944400474871388</v>
      </c>
      <c r="V21" s="233" t="s">
        <v>36</v>
      </c>
      <c r="W21" s="234">
        <f>+U21/O21-1</f>
        <v>0.11269715642489686</v>
      </c>
      <c r="AA21" s="220">
        <v>2685</v>
      </c>
      <c r="AB21" s="220">
        <v>7676</v>
      </c>
      <c r="AC21" s="235">
        <f>+AA21/AB21</f>
        <v>0.34979155810317875</v>
      </c>
      <c r="AD21" s="235"/>
      <c r="AE21" s="222">
        <v>2824</v>
      </c>
      <c r="AF21" s="222">
        <v>6750</v>
      </c>
      <c r="AG21" s="235">
        <f>+AE21/AF21</f>
        <v>0.41837037037037039</v>
      </c>
      <c r="AH21" s="235"/>
      <c r="AI21" s="236">
        <v>2364</v>
      </c>
      <c r="AJ21" s="236">
        <v>5790</v>
      </c>
      <c r="AK21" s="235">
        <f>+AI21/AJ21</f>
        <v>0.40829015544041453</v>
      </c>
      <c r="AL21" s="235"/>
      <c r="AM21" s="220"/>
      <c r="AN21" s="220"/>
      <c r="AO21" s="237"/>
      <c r="AP21" s="235"/>
      <c r="AQ21" s="238">
        <f>+AA21+AE21+AI21+AM21</f>
        <v>7873</v>
      </c>
      <c r="AR21" s="238">
        <f>+AB21+AF21+AJ21+AN21</f>
        <v>20216</v>
      </c>
      <c r="AS21" s="235">
        <f>+AQ21/AR21</f>
        <v>0.38944400474871388</v>
      </c>
    </row>
    <row r="22" spans="1:65" ht="30" customHeight="1" thickBot="1" x14ac:dyDescent="0.3">
      <c r="B22" s="239"/>
      <c r="C22" s="240"/>
      <c r="D22" s="240"/>
      <c r="E22" s="241"/>
      <c r="F22" s="242"/>
      <c r="G22" s="187"/>
      <c r="H22" s="188"/>
      <c r="I22" s="243"/>
      <c r="J22" s="243"/>
      <c r="K22" s="243"/>
      <c r="L22" s="243"/>
      <c r="M22" s="243"/>
      <c r="N22" s="227" t="s">
        <v>219</v>
      </c>
      <c r="O22" s="228"/>
      <c r="P22" s="244">
        <f>+AA21</f>
        <v>2685</v>
      </c>
      <c r="Q22" s="244">
        <f>+AE21</f>
        <v>2824</v>
      </c>
      <c r="R22" s="244">
        <f>+AI21</f>
        <v>2364</v>
      </c>
      <c r="S22" s="244"/>
      <c r="T22" s="245"/>
      <c r="U22" s="246"/>
      <c r="V22" s="247"/>
      <c r="W22" s="248"/>
      <c r="AE22" s="222"/>
      <c r="AF22" s="222"/>
      <c r="AG22" s="235"/>
      <c r="AH22" s="235"/>
      <c r="AI22" s="235"/>
      <c r="AJ22" s="235"/>
      <c r="AK22" s="235"/>
      <c r="AL22" s="235"/>
      <c r="AM22" s="235"/>
      <c r="AN22" s="235"/>
      <c r="AO22" s="235"/>
      <c r="AP22" s="235"/>
      <c r="AQ22" s="235"/>
      <c r="AR22" s="235"/>
      <c r="AS22" s="235"/>
    </row>
    <row r="23" spans="1:65" ht="30" customHeight="1" thickBot="1" x14ac:dyDescent="0.3">
      <c r="B23" s="223"/>
      <c r="C23" s="224"/>
      <c r="D23" s="224"/>
      <c r="E23" s="142"/>
      <c r="F23" s="144"/>
      <c r="G23" s="200"/>
      <c r="H23" s="201"/>
      <c r="I23" s="249"/>
      <c r="J23" s="249"/>
      <c r="K23" s="249"/>
      <c r="L23" s="249"/>
      <c r="M23" s="249"/>
      <c r="N23" s="227" t="s">
        <v>220</v>
      </c>
      <c r="O23" s="228"/>
      <c r="P23" s="250">
        <f>+AC21</f>
        <v>0.34979155810317875</v>
      </c>
      <c r="Q23" s="250">
        <f>+AG21</f>
        <v>0.41837037037037039</v>
      </c>
      <c r="R23" s="250">
        <f>+AK21</f>
        <v>0.40829015544041453</v>
      </c>
      <c r="S23" s="250"/>
      <c r="T23" s="251"/>
      <c r="U23" s="252"/>
      <c r="V23" s="253"/>
      <c r="W23" s="254"/>
      <c r="AE23" s="222"/>
      <c r="AF23" s="222"/>
      <c r="AG23" s="235"/>
      <c r="AH23" s="235"/>
      <c r="AI23" s="235"/>
      <c r="AJ23" s="235"/>
      <c r="AK23" s="235"/>
      <c r="AL23" s="235"/>
      <c r="AM23" s="235"/>
      <c r="AN23" s="235"/>
      <c r="AO23" s="235"/>
      <c r="AP23" s="235"/>
      <c r="AQ23" s="235"/>
      <c r="AR23" s="235"/>
      <c r="AS23" s="235"/>
    </row>
    <row r="24" spans="1:65" ht="24.95" customHeight="1" thickBot="1" x14ac:dyDescent="0.3">
      <c r="A24" s="255" t="s">
        <v>221</v>
      </c>
      <c r="B24" s="256" t="s">
        <v>222</v>
      </c>
      <c r="C24" s="257" t="s">
        <v>223</v>
      </c>
      <c r="D24" s="257" t="s">
        <v>224</v>
      </c>
      <c r="E24" s="258" t="s">
        <v>225</v>
      </c>
      <c r="F24" s="259"/>
      <c r="G24" s="260" t="s">
        <v>226</v>
      </c>
      <c r="H24" s="261"/>
      <c r="I24" s="262" t="s">
        <v>25</v>
      </c>
      <c r="J24" s="262" t="s">
        <v>8</v>
      </c>
      <c r="K24" s="262" t="s">
        <v>10</v>
      </c>
      <c r="L24" s="262" t="s">
        <v>12</v>
      </c>
      <c r="M24" s="262" t="s">
        <v>23</v>
      </c>
      <c r="N24" s="263">
        <v>2022</v>
      </c>
      <c r="O24" s="264">
        <v>0.7</v>
      </c>
      <c r="P24" s="265">
        <v>0.7</v>
      </c>
      <c r="Q24" s="266">
        <v>0.7</v>
      </c>
      <c r="R24" s="265">
        <v>0.7</v>
      </c>
      <c r="S24" s="265">
        <v>0.7</v>
      </c>
      <c r="T24" s="267">
        <f>SUM(P25:S25)</f>
        <v>1211</v>
      </c>
      <c r="U24" s="268">
        <f>+AS24</f>
        <v>0.62070732957457719</v>
      </c>
      <c r="V24" s="269" t="s">
        <v>36</v>
      </c>
      <c r="W24" s="270">
        <f>+U24/O24-1</f>
        <v>-0.11327524346488971</v>
      </c>
      <c r="AA24" s="220">
        <v>408</v>
      </c>
      <c r="AB24" s="220">
        <v>715</v>
      </c>
      <c r="AC24" s="235">
        <f>+AA24/AB24</f>
        <v>0.57062937062937058</v>
      </c>
      <c r="AD24" s="235"/>
      <c r="AE24" s="271">
        <v>421</v>
      </c>
      <c r="AF24" s="271">
        <v>640</v>
      </c>
      <c r="AG24" s="272">
        <f>+AE24/AF24</f>
        <v>0.65781250000000002</v>
      </c>
      <c r="AH24" s="235"/>
      <c r="AI24" s="273">
        <v>382</v>
      </c>
      <c r="AJ24" s="273">
        <v>596</v>
      </c>
      <c r="AK24" s="237">
        <f>+AI24/AJ24</f>
        <v>0.64093959731543626</v>
      </c>
      <c r="AL24" s="235"/>
      <c r="AM24" s="274"/>
      <c r="AN24" s="274"/>
      <c r="AO24" s="275"/>
      <c r="AP24" s="235"/>
      <c r="AQ24" s="220">
        <f>+AA24+AE24+AI24+AM24</f>
        <v>1211</v>
      </c>
      <c r="AR24" s="220">
        <f>+AB24+AF24+AJ24+AN24</f>
        <v>1951</v>
      </c>
      <c r="AS24" s="235">
        <f>+AQ24/AR24</f>
        <v>0.62070732957457719</v>
      </c>
      <c r="AU24" s="15">
        <f>77.4/71-1</f>
        <v>9.0140845070422637E-2</v>
      </c>
    </row>
    <row r="25" spans="1:65" ht="24.95" customHeight="1" thickBot="1" x14ac:dyDescent="0.3">
      <c r="A25" s="255"/>
      <c r="B25" s="276"/>
      <c r="C25" s="277"/>
      <c r="D25" s="277"/>
      <c r="E25" s="278"/>
      <c r="F25" s="279"/>
      <c r="G25" s="280"/>
      <c r="H25" s="281"/>
      <c r="I25" s="282"/>
      <c r="J25" s="282"/>
      <c r="K25" s="282"/>
      <c r="L25" s="282"/>
      <c r="M25" s="282"/>
      <c r="N25" s="258" t="s">
        <v>219</v>
      </c>
      <c r="O25" s="259"/>
      <c r="P25" s="283">
        <f>+AA24</f>
        <v>408</v>
      </c>
      <c r="Q25" s="283">
        <f>+AE24</f>
        <v>421</v>
      </c>
      <c r="R25" s="283">
        <f>+AI24</f>
        <v>382</v>
      </c>
      <c r="S25" s="283"/>
      <c r="T25" s="284"/>
      <c r="U25" s="285"/>
      <c r="V25" s="286"/>
      <c r="W25" s="287"/>
      <c r="AA25" s="220"/>
      <c r="AB25" s="220"/>
      <c r="AC25" s="235"/>
      <c r="AD25" s="235"/>
      <c r="AE25" s="271"/>
      <c r="AF25" s="271"/>
      <c r="AG25" s="272"/>
      <c r="AH25" s="235"/>
      <c r="AL25" s="235"/>
      <c r="AO25" s="235"/>
      <c r="AP25" s="235"/>
      <c r="AQ25" s="235"/>
      <c r="AR25" s="235"/>
      <c r="AS25" s="235"/>
      <c r="AU25" s="15"/>
    </row>
    <row r="26" spans="1:65" ht="24.95" customHeight="1" thickBot="1" x14ac:dyDescent="0.3">
      <c r="A26" s="255"/>
      <c r="B26" s="276"/>
      <c r="C26" s="277"/>
      <c r="D26" s="288"/>
      <c r="E26" s="289"/>
      <c r="F26" s="290"/>
      <c r="G26" s="291"/>
      <c r="H26" s="292"/>
      <c r="I26" s="293"/>
      <c r="J26" s="293"/>
      <c r="K26" s="293"/>
      <c r="L26" s="293"/>
      <c r="M26" s="293"/>
      <c r="N26" s="258" t="s">
        <v>220</v>
      </c>
      <c r="O26" s="259"/>
      <c r="P26" s="294">
        <f>+AC24</f>
        <v>0.57062937062937058</v>
      </c>
      <c r="Q26" s="294">
        <f>+AG24</f>
        <v>0.65781250000000002</v>
      </c>
      <c r="R26" s="265">
        <f>+AK24</f>
        <v>0.64093959731543626</v>
      </c>
      <c r="S26" s="265"/>
      <c r="T26" s="295"/>
      <c r="U26" s="296"/>
      <c r="V26" s="297"/>
      <c r="W26" s="298"/>
      <c r="AA26" s="220"/>
      <c r="AB26" s="220"/>
      <c r="AC26" s="235"/>
      <c r="AD26" s="235"/>
      <c r="AE26" s="271"/>
      <c r="AF26" s="271"/>
      <c r="AG26" s="272"/>
      <c r="AH26" s="235"/>
      <c r="AL26" s="235"/>
      <c r="AO26" s="235"/>
      <c r="AP26" s="235"/>
      <c r="AQ26" s="235"/>
      <c r="AR26" s="235"/>
      <c r="AS26" s="235"/>
      <c r="AU26" s="15"/>
    </row>
    <row r="27" spans="1:65" ht="24.95" customHeight="1" thickBot="1" x14ac:dyDescent="0.3">
      <c r="A27" s="255"/>
      <c r="B27" s="276"/>
      <c r="C27" s="277"/>
      <c r="D27" s="257" t="s">
        <v>227</v>
      </c>
      <c r="E27" s="258" t="s">
        <v>228</v>
      </c>
      <c r="F27" s="259"/>
      <c r="G27" s="260" t="s">
        <v>229</v>
      </c>
      <c r="H27" s="261"/>
      <c r="I27" s="262" t="s">
        <v>25</v>
      </c>
      <c r="J27" s="262" t="s">
        <v>8</v>
      </c>
      <c r="K27" s="262" t="s">
        <v>10</v>
      </c>
      <c r="L27" s="262" t="s">
        <v>12</v>
      </c>
      <c r="M27" s="262" t="s">
        <v>19</v>
      </c>
      <c r="N27" s="299">
        <v>2022</v>
      </c>
      <c r="O27" s="300">
        <v>0.3</v>
      </c>
      <c r="P27" s="300">
        <v>0.3</v>
      </c>
      <c r="Q27" s="300">
        <v>0.3</v>
      </c>
      <c r="R27" s="300">
        <v>0.3</v>
      </c>
      <c r="S27" s="300">
        <v>0.3</v>
      </c>
      <c r="T27" s="267">
        <f>SUM(P28:S28)</f>
        <v>1211</v>
      </c>
      <c r="U27" s="268">
        <f>+AS27</f>
        <v>-0.16826923076923073</v>
      </c>
      <c r="V27" s="301" t="s">
        <v>37</v>
      </c>
      <c r="W27" s="270">
        <f>+U27/O27-1</f>
        <v>-1.5608974358974357</v>
      </c>
      <c r="AA27" s="220">
        <v>408</v>
      </c>
      <c r="AB27" s="220">
        <v>367</v>
      </c>
      <c r="AC27" s="235">
        <f>((AA27/AB27)-1)</f>
        <v>0.11171662125340598</v>
      </c>
      <c r="AD27" s="235"/>
      <c r="AE27" s="271">
        <v>421</v>
      </c>
      <c r="AF27" s="302">
        <v>538</v>
      </c>
      <c r="AG27" s="235">
        <f>((AE27/AF27)-1)</f>
        <v>-0.21747211895910779</v>
      </c>
      <c r="AH27" s="235"/>
      <c r="AI27" s="273">
        <v>382</v>
      </c>
      <c r="AJ27" s="273">
        <v>551</v>
      </c>
      <c r="AK27" s="237">
        <f>((AI27/AJ27)-1)</f>
        <v>-0.30671506352087119</v>
      </c>
      <c r="AL27" s="235"/>
      <c r="AM27" s="271"/>
      <c r="AN27" s="303"/>
      <c r="AO27" s="275"/>
      <c r="AP27" s="235"/>
      <c r="AQ27" s="220">
        <f>+AA27+AE27+AI27+AM27</f>
        <v>1211</v>
      </c>
      <c r="AR27" s="220">
        <f>+AB27+AF27+AJ27+AN27</f>
        <v>1456</v>
      </c>
      <c r="AS27" s="235">
        <f>+AQ27/AR27-1</f>
        <v>-0.16826923076923073</v>
      </c>
    </row>
    <row r="28" spans="1:65" ht="24.95" customHeight="1" thickBot="1" x14ac:dyDescent="0.3">
      <c r="A28" s="255"/>
      <c r="B28" s="276"/>
      <c r="C28" s="277"/>
      <c r="D28" s="277"/>
      <c r="E28" s="278"/>
      <c r="F28" s="279"/>
      <c r="G28" s="280"/>
      <c r="H28" s="281"/>
      <c r="I28" s="282"/>
      <c r="J28" s="282"/>
      <c r="K28" s="282"/>
      <c r="L28" s="282"/>
      <c r="M28" s="282"/>
      <c r="N28" s="258" t="s">
        <v>219</v>
      </c>
      <c r="O28" s="259"/>
      <c r="P28" s="283">
        <f>+AA27</f>
        <v>408</v>
      </c>
      <c r="Q28" s="283">
        <f>+AE27</f>
        <v>421</v>
      </c>
      <c r="R28" s="283">
        <f>+AI27</f>
        <v>382</v>
      </c>
      <c r="S28" s="283"/>
      <c r="T28" s="284"/>
      <c r="U28" s="285"/>
      <c r="V28" s="304"/>
      <c r="W28" s="287"/>
      <c r="AA28" s="220"/>
      <c r="AB28" s="220"/>
      <c r="AC28" s="235"/>
      <c r="AD28" s="235"/>
      <c r="AE28" s="271"/>
      <c r="AF28" s="302"/>
      <c r="AG28" s="272"/>
      <c r="AH28" s="235"/>
      <c r="AL28" s="235"/>
      <c r="AO28" s="235"/>
      <c r="AP28" s="235"/>
      <c r="AQ28" s="235"/>
      <c r="AR28" s="235"/>
      <c r="AS28" s="235"/>
    </row>
    <row r="29" spans="1:65" ht="24.95" customHeight="1" thickBot="1" x14ac:dyDescent="0.3">
      <c r="A29" s="255"/>
      <c r="B29" s="276"/>
      <c r="C29" s="277"/>
      <c r="D29" s="288"/>
      <c r="E29" s="289"/>
      <c r="F29" s="290"/>
      <c r="G29" s="291"/>
      <c r="H29" s="292"/>
      <c r="I29" s="293"/>
      <c r="J29" s="293"/>
      <c r="K29" s="293"/>
      <c r="L29" s="293"/>
      <c r="M29" s="293"/>
      <c r="N29" s="258" t="s">
        <v>220</v>
      </c>
      <c r="O29" s="259"/>
      <c r="P29" s="305">
        <f>+AC27</f>
        <v>0.11171662125340598</v>
      </c>
      <c r="Q29" s="305">
        <f>+AG27</f>
        <v>-0.21747211895910779</v>
      </c>
      <c r="R29" s="265">
        <f>+AK27</f>
        <v>-0.30671506352087119</v>
      </c>
      <c r="S29" s="265"/>
      <c r="T29" s="295"/>
      <c r="U29" s="296"/>
      <c r="V29" s="306"/>
      <c r="W29" s="298"/>
      <c r="AA29" s="220"/>
      <c r="AB29" s="220"/>
      <c r="AC29" s="235"/>
      <c r="AD29" s="235"/>
      <c r="AE29" s="271"/>
      <c r="AF29" s="302"/>
      <c r="AG29" s="272"/>
      <c r="AH29" s="235"/>
      <c r="AL29" s="235"/>
      <c r="AO29" s="235"/>
      <c r="AP29" s="235"/>
      <c r="AQ29" s="235"/>
      <c r="AR29" s="235"/>
      <c r="AS29" s="235"/>
    </row>
    <row r="30" spans="1:65" ht="24.95" customHeight="1" thickBot="1" x14ac:dyDescent="0.3">
      <c r="A30" s="255"/>
      <c r="B30" s="276"/>
      <c r="C30" s="277"/>
      <c r="D30" s="257" t="s">
        <v>230</v>
      </c>
      <c r="E30" s="258" t="s">
        <v>231</v>
      </c>
      <c r="F30" s="259"/>
      <c r="G30" s="260" t="s">
        <v>232</v>
      </c>
      <c r="H30" s="261"/>
      <c r="I30" s="262" t="s">
        <v>25</v>
      </c>
      <c r="J30" s="262" t="s">
        <v>8</v>
      </c>
      <c r="K30" s="262" t="s">
        <v>10</v>
      </c>
      <c r="L30" s="262" t="s">
        <v>12</v>
      </c>
      <c r="M30" s="262" t="s">
        <v>23</v>
      </c>
      <c r="N30" s="299">
        <v>2022</v>
      </c>
      <c r="O30" s="300">
        <v>0.65</v>
      </c>
      <c r="P30" s="300">
        <v>0.65</v>
      </c>
      <c r="Q30" s="300">
        <v>0.65</v>
      </c>
      <c r="R30" s="300">
        <v>0.65</v>
      </c>
      <c r="S30" s="300">
        <v>0.65</v>
      </c>
      <c r="T30" s="267">
        <f>SUM(P31:S31)</f>
        <v>396</v>
      </c>
      <c r="U30" s="268">
        <f>+AS30</f>
        <v>0.71351351351351355</v>
      </c>
      <c r="V30" s="307" t="s">
        <v>35</v>
      </c>
      <c r="W30" s="270">
        <f>+U30/O30-1</f>
        <v>9.7713097713097774E-2</v>
      </c>
      <c r="AA30" s="220">
        <v>119</v>
      </c>
      <c r="AB30" s="220">
        <v>189</v>
      </c>
      <c r="AC30" s="308">
        <f>+AA30/AB30</f>
        <v>0.62962962962962965</v>
      </c>
      <c r="AD30" s="308"/>
      <c r="AE30" s="271">
        <v>148</v>
      </c>
      <c r="AF30" s="271">
        <v>181</v>
      </c>
      <c r="AG30" s="308">
        <f>+AE30/AF30</f>
        <v>0.81767955801104975</v>
      </c>
      <c r="AH30" s="235"/>
      <c r="AI30" s="273">
        <v>129</v>
      </c>
      <c r="AJ30" s="273">
        <v>185</v>
      </c>
      <c r="AK30" s="237">
        <f>+AI30/AJ30</f>
        <v>0.69729729729729728</v>
      </c>
      <c r="AL30" s="235"/>
      <c r="AM30" s="271"/>
      <c r="AN30" s="274"/>
      <c r="AO30" s="309"/>
      <c r="AP30" s="235"/>
      <c r="AQ30" s="220">
        <f>+AA30+AE30+AI30+AM30</f>
        <v>396</v>
      </c>
      <c r="AR30" s="220">
        <f>+AB30+AF30+AJ30+AN30</f>
        <v>555</v>
      </c>
      <c r="AS30" s="235">
        <f>+AQ30/AR30</f>
        <v>0.71351351351351355</v>
      </c>
    </row>
    <row r="31" spans="1:65" ht="24.95" customHeight="1" thickBot="1" x14ac:dyDescent="0.3">
      <c r="A31" s="255"/>
      <c r="B31" s="276"/>
      <c r="C31" s="277"/>
      <c r="D31" s="277"/>
      <c r="E31" s="278"/>
      <c r="F31" s="279"/>
      <c r="G31" s="280"/>
      <c r="H31" s="281"/>
      <c r="I31" s="282"/>
      <c r="J31" s="282"/>
      <c r="K31" s="282"/>
      <c r="L31" s="282"/>
      <c r="M31" s="282"/>
      <c r="N31" s="258" t="s">
        <v>219</v>
      </c>
      <c r="O31" s="259"/>
      <c r="P31" s="283">
        <f>+AA30</f>
        <v>119</v>
      </c>
      <c r="Q31" s="283">
        <f>+AE30</f>
        <v>148</v>
      </c>
      <c r="R31" s="283">
        <f>+AI30</f>
        <v>129</v>
      </c>
      <c r="S31" s="283"/>
      <c r="T31" s="284"/>
      <c r="U31" s="285"/>
      <c r="V31" s="310"/>
      <c r="W31" s="287"/>
      <c r="AA31" s="220"/>
      <c r="AB31" s="220"/>
      <c r="AC31" s="308"/>
      <c r="AD31" s="308"/>
      <c r="AE31" s="271"/>
      <c r="AF31" s="271"/>
      <c r="AG31" s="311"/>
      <c r="AH31" s="235"/>
      <c r="AK31" s="312"/>
      <c r="AL31" s="235"/>
      <c r="AO31" s="235"/>
      <c r="AP31" s="235"/>
      <c r="AQ31" s="235"/>
      <c r="AR31" s="235"/>
      <c r="AS31" s="235"/>
    </row>
    <row r="32" spans="1:65" ht="24.95" customHeight="1" thickBot="1" x14ac:dyDescent="0.3">
      <c r="A32" s="255"/>
      <c r="B32" s="313"/>
      <c r="C32" s="288"/>
      <c r="D32" s="288"/>
      <c r="E32" s="289"/>
      <c r="F32" s="290"/>
      <c r="G32" s="291"/>
      <c r="H32" s="292"/>
      <c r="I32" s="293"/>
      <c r="J32" s="293"/>
      <c r="K32" s="293"/>
      <c r="L32" s="293"/>
      <c r="M32" s="293"/>
      <c r="N32" s="258" t="s">
        <v>220</v>
      </c>
      <c r="O32" s="259"/>
      <c r="P32" s="305">
        <f>+AC30</f>
        <v>0.62962962962962965</v>
      </c>
      <c r="Q32" s="305">
        <f>+AG30</f>
        <v>0.81767955801104975</v>
      </c>
      <c r="R32" s="265">
        <f>+AK30</f>
        <v>0.69729729729729728</v>
      </c>
      <c r="S32" s="265"/>
      <c r="T32" s="295"/>
      <c r="U32" s="296"/>
      <c r="V32" s="314"/>
      <c r="W32" s="298"/>
      <c r="AA32" s="220"/>
      <c r="AB32" s="220"/>
      <c r="AC32" s="308"/>
      <c r="AD32" s="308"/>
      <c r="AE32" s="271"/>
      <c r="AF32" s="271"/>
      <c r="AG32" s="311"/>
      <c r="AH32" s="235"/>
      <c r="AK32" s="312"/>
      <c r="AL32" s="235"/>
      <c r="AO32" s="235"/>
      <c r="AP32" s="235"/>
      <c r="AQ32" s="235"/>
      <c r="AR32" s="235"/>
      <c r="AS32" s="235"/>
    </row>
    <row r="33" spans="1:45" ht="24.95" customHeight="1" thickBot="1" x14ac:dyDescent="0.3">
      <c r="A33" s="255"/>
      <c r="B33" s="315" t="s">
        <v>233</v>
      </c>
      <c r="C33" s="257" t="s">
        <v>234</v>
      </c>
      <c r="D33" s="257" t="s">
        <v>235</v>
      </c>
      <c r="E33" s="258" t="s">
        <v>236</v>
      </c>
      <c r="F33" s="259"/>
      <c r="G33" s="260" t="s">
        <v>237</v>
      </c>
      <c r="H33" s="261"/>
      <c r="I33" s="262" t="s">
        <v>25</v>
      </c>
      <c r="J33" s="262" t="s">
        <v>8</v>
      </c>
      <c r="K33" s="262" t="s">
        <v>10</v>
      </c>
      <c r="L33" s="262" t="s">
        <v>12</v>
      </c>
      <c r="M33" s="262" t="s">
        <v>23</v>
      </c>
      <c r="N33" s="299">
        <v>2022</v>
      </c>
      <c r="O33" s="300">
        <v>0.25</v>
      </c>
      <c r="P33" s="300">
        <v>0.25</v>
      </c>
      <c r="Q33" s="300">
        <v>0.25</v>
      </c>
      <c r="R33" s="300">
        <v>0.25</v>
      </c>
      <c r="S33" s="300">
        <v>0.25</v>
      </c>
      <c r="T33" s="267">
        <f>SUM(P34:S34)</f>
        <v>490</v>
      </c>
      <c r="U33" s="268">
        <f>+AS33</f>
        <v>0.2511532547411584</v>
      </c>
      <c r="V33" s="307" t="s">
        <v>35</v>
      </c>
      <c r="W33" s="270">
        <f>+U33/O33-1</f>
        <v>4.6130189646336195E-3</v>
      </c>
      <c r="AA33" s="220">
        <v>167</v>
      </c>
      <c r="AB33" s="220">
        <v>715</v>
      </c>
      <c r="AC33" s="308">
        <f>+AA33/AB33</f>
        <v>0.23356643356643356</v>
      </c>
      <c r="AD33" s="308"/>
      <c r="AE33" s="271">
        <v>194</v>
      </c>
      <c r="AF33" s="271">
        <v>640</v>
      </c>
      <c r="AG33" s="308">
        <f>+AE33/AF33</f>
        <v>0.30312499999999998</v>
      </c>
      <c r="AH33" s="235"/>
      <c r="AI33" s="316">
        <v>129</v>
      </c>
      <c r="AJ33" s="273">
        <v>596</v>
      </c>
      <c r="AK33" s="237">
        <f>+AI33/AJ33</f>
        <v>0.21644295302013422</v>
      </c>
      <c r="AL33" s="235"/>
      <c r="AM33" s="274"/>
      <c r="AN33" s="271"/>
      <c r="AO33" s="317"/>
      <c r="AP33" s="235"/>
      <c r="AQ33" s="220">
        <f>+AA33+AE33+AI33+AM33</f>
        <v>490</v>
      </c>
      <c r="AR33" s="220">
        <f>+AB33+AF33+AJ33+AN33</f>
        <v>1951</v>
      </c>
      <c r="AS33" s="235">
        <f>+AQ33/AR33</f>
        <v>0.2511532547411584</v>
      </c>
    </row>
    <row r="34" spans="1:45" ht="24.95" customHeight="1" thickBot="1" x14ac:dyDescent="0.3">
      <c r="A34" s="255"/>
      <c r="B34" s="318"/>
      <c r="C34" s="277"/>
      <c r="D34" s="277"/>
      <c r="E34" s="278"/>
      <c r="F34" s="279"/>
      <c r="G34" s="280"/>
      <c r="H34" s="281"/>
      <c r="I34" s="282"/>
      <c r="J34" s="282"/>
      <c r="K34" s="282"/>
      <c r="L34" s="282"/>
      <c r="M34" s="282"/>
      <c r="N34" s="258" t="s">
        <v>219</v>
      </c>
      <c r="O34" s="259"/>
      <c r="P34" s="283">
        <f>+AA33</f>
        <v>167</v>
      </c>
      <c r="Q34" s="283">
        <f>+AE33</f>
        <v>194</v>
      </c>
      <c r="R34" s="283">
        <f>+AI33</f>
        <v>129</v>
      </c>
      <c r="S34" s="283"/>
      <c r="T34" s="284"/>
      <c r="U34" s="285"/>
      <c r="V34" s="310"/>
      <c r="W34" s="287"/>
      <c r="AA34" s="220"/>
      <c r="AB34" s="220"/>
      <c r="AC34" s="308"/>
      <c r="AD34" s="308"/>
      <c r="AE34" s="271"/>
      <c r="AF34" s="271"/>
      <c r="AG34" s="308"/>
      <c r="AH34" s="235"/>
      <c r="AK34" s="312"/>
      <c r="AL34" s="235"/>
      <c r="AP34" s="235"/>
      <c r="AQ34" s="235"/>
      <c r="AR34" s="235"/>
      <c r="AS34" s="235"/>
    </row>
    <row r="35" spans="1:45" ht="24.95" customHeight="1" thickBot="1" x14ac:dyDescent="0.3">
      <c r="A35" s="255"/>
      <c r="B35" s="319"/>
      <c r="C35" s="288"/>
      <c r="D35" s="288"/>
      <c r="E35" s="289"/>
      <c r="F35" s="290"/>
      <c r="G35" s="291"/>
      <c r="H35" s="292"/>
      <c r="I35" s="293"/>
      <c r="J35" s="293"/>
      <c r="K35" s="293"/>
      <c r="L35" s="293"/>
      <c r="M35" s="293"/>
      <c r="N35" s="258" t="s">
        <v>220</v>
      </c>
      <c r="O35" s="259"/>
      <c r="P35" s="305">
        <f>+AC33</f>
        <v>0.23356643356643356</v>
      </c>
      <c r="Q35" s="305">
        <f>+AG33</f>
        <v>0.30312499999999998</v>
      </c>
      <c r="R35" s="265">
        <f>+AK33</f>
        <v>0.21644295302013422</v>
      </c>
      <c r="S35" s="265"/>
      <c r="T35" s="295"/>
      <c r="U35" s="296"/>
      <c r="V35" s="314"/>
      <c r="W35" s="298"/>
      <c r="AA35" s="220"/>
      <c r="AB35" s="220"/>
      <c r="AC35" s="308"/>
      <c r="AD35" s="308"/>
      <c r="AE35" s="271"/>
      <c r="AF35" s="271"/>
      <c r="AG35" s="308"/>
      <c r="AH35" s="235"/>
      <c r="AK35" s="312"/>
      <c r="AL35" s="235"/>
      <c r="AP35" s="235"/>
      <c r="AQ35" s="235"/>
      <c r="AR35" s="235"/>
      <c r="AS35" s="235"/>
    </row>
    <row r="36" spans="1:45" ht="24.95" customHeight="1" thickBot="1" x14ac:dyDescent="0.3">
      <c r="A36" s="255"/>
      <c r="B36" s="315" t="s">
        <v>238</v>
      </c>
      <c r="C36" s="257" t="s">
        <v>239</v>
      </c>
      <c r="D36" s="257" t="s">
        <v>240</v>
      </c>
      <c r="E36" s="258" t="s">
        <v>241</v>
      </c>
      <c r="F36" s="259"/>
      <c r="G36" s="260" t="s">
        <v>242</v>
      </c>
      <c r="H36" s="261"/>
      <c r="I36" s="262" t="s">
        <v>25</v>
      </c>
      <c r="J36" s="262" t="s">
        <v>8</v>
      </c>
      <c r="K36" s="262" t="s">
        <v>10</v>
      </c>
      <c r="L36" s="262" t="s">
        <v>12</v>
      </c>
      <c r="M36" s="262" t="s">
        <v>23</v>
      </c>
      <c r="N36" s="299">
        <v>2022</v>
      </c>
      <c r="O36" s="300">
        <v>8.5</v>
      </c>
      <c r="P36" s="300">
        <v>8.5</v>
      </c>
      <c r="Q36" s="300">
        <v>8.5</v>
      </c>
      <c r="R36" s="300">
        <v>8.5</v>
      </c>
      <c r="S36" s="300">
        <v>8.5</v>
      </c>
      <c r="T36" s="267">
        <f>SUM(P37:S37)</f>
        <v>17808</v>
      </c>
      <c r="U36" s="320">
        <f>+AS36</f>
        <v>9.127626858021527</v>
      </c>
      <c r="V36" s="307" t="s">
        <v>35</v>
      </c>
      <c r="W36" s="270">
        <f>+U36/O36-1</f>
        <v>7.3838453884885524E-2</v>
      </c>
      <c r="AA36" s="220">
        <v>6328</v>
      </c>
      <c r="AB36" s="220">
        <v>715</v>
      </c>
      <c r="AC36" s="308">
        <f t="shared" ref="AC36:AC60" si="0">+AA36/AB36</f>
        <v>8.850349650349651</v>
      </c>
      <c r="AD36" s="308"/>
      <c r="AE36" s="271">
        <v>5552</v>
      </c>
      <c r="AF36" s="271">
        <v>640</v>
      </c>
      <c r="AG36" s="308">
        <f t="shared" ref="AG36:AG42" si="1">+AE36/AF36</f>
        <v>8.6750000000000007</v>
      </c>
      <c r="AH36" s="235"/>
      <c r="AI36" s="316">
        <v>5928</v>
      </c>
      <c r="AJ36" s="273">
        <v>596</v>
      </c>
      <c r="AK36" s="237">
        <f>+AI36/AJ36</f>
        <v>9.946308724832214</v>
      </c>
      <c r="AL36" s="235"/>
      <c r="AM36" s="321"/>
      <c r="AN36" s="271"/>
      <c r="AO36" s="317"/>
      <c r="AP36" s="235"/>
      <c r="AQ36" s="220">
        <f>+AA36+AE36+AI36+AM36</f>
        <v>17808</v>
      </c>
      <c r="AR36" s="220">
        <f>+AB36+AF36+AJ36+AN36</f>
        <v>1951</v>
      </c>
      <c r="AS36" s="322">
        <f>+AQ36/AR36</f>
        <v>9.127626858021527</v>
      </c>
    </row>
    <row r="37" spans="1:45" ht="24.95" customHeight="1" thickBot="1" x14ac:dyDescent="0.3">
      <c r="A37" s="255"/>
      <c r="B37" s="318"/>
      <c r="C37" s="277"/>
      <c r="D37" s="277"/>
      <c r="E37" s="278"/>
      <c r="F37" s="279"/>
      <c r="G37" s="280"/>
      <c r="H37" s="281"/>
      <c r="I37" s="282"/>
      <c r="J37" s="282"/>
      <c r="K37" s="282"/>
      <c r="L37" s="282"/>
      <c r="M37" s="282"/>
      <c r="N37" s="258" t="s">
        <v>219</v>
      </c>
      <c r="O37" s="259"/>
      <c r="P37" s="283">
        <f>+AA36</f>
        <v>6328</v>
      </c>
      <c r="Q37" s="283">
        <f>+AE36</f>
        <v>5552</v>
      </c>
      <c r="R37" s="283">
        <f>+AI36</f>
        <v>5928</v>
      </c>
      <c r="S37" s="283"/>
      <c r="T37" s="284"/>
      <c r="U37" s="323"/>
      <c r="V37" s="310"/>
      <c r="W37" s="287"/>
      <c r="AA37" s="220"/>
      <c r="AB37" s="220"/>
      <c r="AC37" s="308"/>
      <c r="AD37" s="308"/>
      <c r="AE37" s="271"/>
      <c r="AF37" s="271"/>
      <c r="AG37" s="308"/>
      <c r="AH37" s="235"/>
      <c r="AK37" s="312"/>
      <c r="AL37" s="235"/>
      <c r="AP37" s="235"/>
      <c r="AQ37" s="235"/>
      <c r="AR37" s="235"/>
      <c r="AS37" s="235"/>
    </row>
    <row r="38" spans="1:45" ht="24.95" customHeight="1" thickBot="1" x14ac:dyDescent="0.3">
      <c r="A38" s="255"/>
      <c r="B38" s="319"/>
      <c r="C38" s="288"/>
      <c r="D38" s="288"/>
      <c r="E38" s="289"/>
      <c r="F38" s="290"/>
      <c r="G38" s="291"/>
      <c r="H38" s="292"/>
      <c r="I38" s="293"/>
      <c r="J38" s="293"/>
      <c r="K38" s="293"/>
      <c r="L38" s="293"/>
      <c r="M38" s="293"/>
      <c r="N38" s="258" t="s">
        <v>220</v>
      </c>
      <c r="O38" s="259"/>
      <c r="P38" s="265">
        <f>+AC36</f>
        <v>8.850349650349651</v>
      </c>
      <c r="Q38" s="265">
        <f>+AG36</f>
        <v>8.6750000000000007</v>
      </c>
      <c r="R38" s="265">
        <f>+AK36</f>
        <v>9.946308724832214</v>
      </c>
      <c r="S38" s="265"/>
      <c r="T38" s="295"/>
      <c r="U38" s="324"/>
      <c r="V38" s="314"/>
      <c r="W38" s="298"/>
      <c r="AA38" s="220"/>
      <c r="AB38" s="220"/>
      <c r="AC38" s="308"/>
      <c r="AD38" s="308"/>
      <c r="AE38" s="271"/>
      <c r="AF38" s="271"/>
      <c r="AG38" s="308"/>
      <c r="AH38" s="235"/>
      <c r="AK38" s="312"/>
      <c r="AL38" s="235"/>
      <c r="AP38" s="235"/>
      <c r="AQ38" s="235"/>
      <c r="AR38" s="235"/>
      <c r="AS38" s="235"/>
    </row>
    <row r="39" spans="1:45" ht="24.95" customHeight="1" thickBot="1" x14ac:dyDescent="0.3">
      <c r="A39" s="255"/>
      <c r="B39" s="315" t="s">
        <v>243</v>
      </c>
      <c r="C39" s="257" t="s">
        <v>244</v>
      </c>
      <c r="D39" s="257" t="s">
        <v>245</v>
      </c>
      <c r="E39" s="258" t="s">
        <v>246</v>
      </c>
      <c r="F39" s="259"/>
      <c r="G39" s="260" t="s">
        <v>247</v>
      </c>
      <c r="H39" s="261"/>
      <c r="I39" s="262" t="s">
        <v>25</v>
      </c>
      <c r="J39" s="262" t="s">
        <v>8</v>
      </c>
      <c r="K39" s="262" t="s">
        <v>10</v>
      </c>
      <c r="L39" s="262" t="s">
        <v>12</v>
      </c>
      <c r="M39" s="262" t="s">
        <v>23</v>
      </c>
      <c r="N39" s="299">
        <v>2022</v>
      </c>
      <c r="O39" s="300">
        <v>0.95</v>
      </c>
      <c r="P39" s="300">
        <v>0.95</v>
      </c>
      <c r="Q39" s="300">
        <v>0.95</v>
      </c>
      <c r="R39" s="300">
        <v>0.95</v>
      </c>
      <c r="S39" s="300">
        <v>0.95</v>
      </c>
      <c r="T39" s="267">
        <f>SUM(P40:S40)</f>
        <v>1211</v>
      </c>
      <c r="U39" s="268">
        <f>+AS39</f>
        <v>0.92513368983957223</v>
      </c>
      <c r="V39" s="307" t="s">
        <v>35</v>
      </c>
      <c r="W39" s="270">
        <f>+U39/O39-1</f>
        <v>-2.6175063326766002E-2</v>
      </c>
      <c r="AA39" s="220">
        <v>408</v>
      </c>
      <c r="AB39" s="220">
        <v>467</v>
      </c>
      <c r="AC39" s="308">
        <f t="shared" si="0"/>
        <v>0.87366167023554608</v>
      </c>
      <c r="AD39" s="308"/>
      <c r="AE39" s="271">
        <v>421</v>
      </c>
      <c r="AF39" s="271">
        <v>469</v>
      </c>
      <c r="AG39" s="308">
        <f t="shared" si="1"/>
        <v>0.89765458422174838</v>
      </c>
      <c r="AH39" s="235"/>
      <c r="AI39" s="273">
        <v>382</v>
      </c>
      <c r="AJ39" s="316">
        <v>373</v>
      </c>
      <c r="AK39" s="237">
        <f>+AI39/AJ39</f>
        <v>1.0241286863270778</v>
      </c>
      <c r="AL39" s="235"/>
      <c r="AM39" s="271"/>
      <c r="AN39" s="274"/>
      <c r="AO39" s="317"/>
      <c r="AP39" s="235"/>
      <c r="AQ39" s="220">
        <f>+AA39+AE39+AI39+AM39</f>
        <v>1211</v>
      </c>
      <c r="AR39" s="220">
        <f>+AB39+AF39+AJ39+AN39</f>
        <v>1309</v>
      </c>
      <c r="AS39" s="235">
        <f>+AQ39/AR39</f>
        <v>0.92513368983957223</v>
      </c>
    </row>
    <row r="40" spans="1:45" ht="24.95" customHeight="1" thickBot="1" x14ac:dyDescent="0.3">
      <c r="A40" s="255"/>
      <c r="B40" s="318"/>
      <c r="C40" s="277"/>
      <c r="D40" s="277"/>
      <c r="E40" s="278"/>
      <c r="F40" s="279"/>
      <c r="G40" s="280"/>
      <c r="H40" s="281"/>
      <c r="I40" s="282"/>
      <c r="J40" s="282"/>
      <c r="K40" s="282"/>
      <c r="L40" s="282"/>
      <c r="M40" s="282"/>
      <c r="N40" s="258" t="s">
        <v>219</v>
      </c>
      <c r="O40" s="259"/>
      <c r="P40" s="283">
        <f>+AA39</f>
        <v>408</v>
      </c>
      <c r="Q40" s="283">
        <f>+AE39</f>
        <v>421</v>
      </c>
      <c r="R40" s="283">
        <f>+AI39</f>
        <v>382</v>
      </c>
      <c r="S40" s="283"/>
      <c r="T40" s="284"/>
      <c r="U40" s="285"/>
      <c r="V40" s="310"/>
      <c r="W40" s="287"/>
      <c r="AA40" s="220"/>
      <c r="AB40" s="220"/>
      <c r="AC40" s="308"/>
      <c r="AD40" s="308"/>
      <c r="AE40" s="271"/>
      <c r="AF40" s="271"/>
      <c r="AG40" s="308"/>
      <c r="AH40" s="235"/>
      <c r="AK40" s="312"/>
      <c r="AL40" s="235"/>
      <c r="AP40" s="235"/>
      <c r="AQ40" s="235"/>
      <c r="AR40" s="235"/>
      <c r="AS40" s="235"/>
    </row>
    <row r="41" spans="1:45" ht="24.95" customHeight="1" thickBot="1" x14ac:dyDescent="0.3">
      <c r="A41" s="255"/>
      <c r="B41" s="318"/>
      <c r="C41" s="277"/>
      <c r="D41" s="288"/>
      <c r="E41" s="289"/>
      <c r="F41" s="290"/>
      <c r="G41" s="291"/>
      <c r="H41" s="292"/>
      <c r="I41" s="293"/>
      <c r="J41" s="293"/>
      <c r="K41" s="293"/>
      <c r="L41" s="293"/>
      <c r="M41" s="293"/>
      <c r="N41" s="258" t="s">
        <v>220</v>
      </c>
      <c r="O41" s="259"/>
      <c r="P41" s="325">
        <f>+AC39</f>
        <v>0.87366167023554608</v>
      </c>
      <c r="Q41" s="325">
        <f>+AG39</f>
        <v>0.89765458422174838</v>
      </c>
      <c r="R41" s="265">
        <f>+AK39</f>
        <v>1.0241286863270778</v>
      </c>
      <c r="S41" s="265"/>
      <c r="T41" s="295"/>
      <c r="U41" s="296"/>
      <c r="V41" s="314"/>
      <c r="W41" s="298"/>
      <c r="AA41" s="220"/>
      <c r="AB41" s="220"/>
      <c r="AC41" s="308"/>
      <c r="AD41" s="308"/>
      <c r="AE41" s="271"/>
      <c r="AF41" s="271"/>
      <c r="AG41" s="308"/>
      <c r="AH41" s="235"/>
      <c r="AK41" s="312"/>
      <c r="AL41" s="235"/>
      <c r="AP41" s="235"/>
      <c r="AQ41" s="235"/>
      <c r="AR41" s="235"/>
      <c r="AS41" s="235"/>
    </row>
    <row r="42" spans="1:45" ht="24.95" customHeight="1" thickBot="1" x14ac:dyDescent="0.3">
      <c r="A42" s="255"/>
      <c r="B42" s="318"/>
      <c r="C42" s="277"/>
      <c r="D42" s="257" t="s">
        <v>248</v>
      </c>
      <c r="E42" s="258" t="s">
        <v>249</v>
      </c>
      <c r="F42" s="259"/>
      <c r="G42" s="260" t="s">
        <v>250</v>
      </c>
      <c r="H42" s="261"/>
      <c r="I42" s="262" t="s">
        <v>25</v>
      </c>
      <c r="J42" s="262" t="s">
        <v>8</v>
      </c>
      <c r="K42" s="262" t="s">
        <v>10</v>
      </c>
      <c r="L42" s="262" t="s">
        <v>12</v>
      </c>
      <c r="M42" s="262" t="s">
        <v>23</v>
      </c>
      <c r="N42" s="299">
        <v>2022</v>
      </c>
      <c r="O42" s="300">
        <v>0.7</v>
      </c>
      <c r="P42" s="300">
        <v>0.7</v>
      </c>
      <c r="Q42" s="300">
        <v>0.7</v>
      </c>
      <c r="R42" s="300">
        <v>0.7</v>
      </c>
      <c r="S42" s="300">
        <v>0.7</v>
      </c>
      <c r="T42" s="267">
        <f>SUM(P43:S43)</f>
        <v>1309</v>
      </c>
      <c r="U42" s="268">
        <f>+AS42</f>
        <v>0.67093798052280884</v>
      </c>
      <c r="V42" s="307" t="s">
        <v>35</v>
      </c>
      <c r="W42" s="270">
        <f>+U42/O42-1</f>
        <v>-4.1517170681701576E-2</v>
      </c>
      <c r="AA42" s="220">
        <v>467</v>
      </c>
      <c r="AB42" s="220">
        <v>715</v>
      </c>
      <c r="AC42" s="308">
        <f t="shared" si="0"/>
        <v>0.65314685314685317</v>
      </c>
      <c r="AD42" s="308"/>
      <c r="AE42" s="271">
        <v>469</v>
      </c>
      <c r="AF42" s="271">
        <v>640</v>
      </c>
      <c r="AG42" s="308">
        <f t="shared" si="1"/>
        <v>0.73281249999999998</v>
      </c>
      <c r="AH42" s="235"/>
      <c r="AI42" s="273">
        <v>373</v>
      </c>
      <c r="AJ42" s="273">
        <v>596</v>
      </c>
      <c r="AK42" s="237">
        <f>+AI42/AJ42</f>
        <v>0.62583892617449666</v>
      </c>
      <c r="AL42" s="235"/>
      <c r="AM42" s="271"/>
      <c r="AN42" s="271"/>
      <c r="AO42" s="317"/>
      <c r="AP42" s="235"/>
      <c r="AQ42" s="220">
        <f>+AA42+AE42+AI42+AM42</f>
        <v>1309</v>
      </c>
      <c r="AR42" s="220">
        <f>+AB42+AF42+AJ42+AN42</f>
        <v>1951</v>
      </c>
      <c r="AS42" s="235">
        <f>+AQ42/AR42</f>
        <v>0.67093798052280884</v>
      </c>
    </row>
    <row r="43" spans="1:45" ht="24.95" customHeight="1" thickBot="1" x14ac:dyDescent="0.3">
      <c r="A43" s="255"/>
      <c r="B43" s="318"/>
      <c r="C43" s="277"/>
      <c r="D43" s="277"/>
      <c r="E43" s="278"/>
      <c r="F43" s="279"/>
      <c r="G43" s="280"/>
      <c r="H43" s="281"/>
      <c r="I43" s="282"/>
      <c r="J43" s="282"/>
      <c r="K43" s="282"/>
      <c r="L43" s="282"/>
      <c r="M43" s="282"/>
      <c r="N43" s="258" t="s">
        <v>219</v>
      </c>
      <c r="O43" s="259"/>
      <c r="P43" s="283">
        <f>+AA42</f>
        <v>467</v>
      </c>
      <c r="Q43" s="283">
        <f>+AE42</f>
        <v>469</v>
      </c>
      <c r="R43" s="283">
        <f>+AI42</f>
        <v>373</v>
      </c>
      <c r="S43" s="283"/>
      <c r="T43" s="284"/>
      <c r="U43" s="285"/>
      <c r="V43" s="310"/>
      <c r="W43" s="287"/>
      <c r="AA43" s="220"/>
      <c r="AB43" s="220"/>
      <c r="AC43" s="308"/>
      <c r="AD43" s="308"/>
      <c r="AE43" s="271"/>
      <c r="AF43" s="271"/>
      <c r="AG43" s="311"/>
      <c r="AH43" s="235"/>
      <c r="AK43" s="312"/>
      <c r="AL43" s="235"/>
      <c r="AP43" s="235"/>
      <c r="AQ43" s="235"/>
      <c r="AR43" s="235"/>
      <c r="AS43" s="235"/>
    </row>
    <row r="44" spans="1:45" ht="24.95" customHeight="1" thickBot="1" x14ac:dyDescent="0.3">
      <c r="A44" s="255"/>
      <c r="B44" s="319"/>
      <c r="C44" s="288"/>
      <c r="D44" s="288"/>
      <c r="E44" s="289"/>
      <c r="F44" s="290"/>
      <c r="G44" s="291"/>
      <c r="H44" s="292"/>
      <c r="I44" s="293"/>
      <c r="J44" s="293"/>
      <c r="K44" s="293"/>
      <c r="L44" s="293"/>
      <c r="M44" s="293"/>
      <c r="N44" s="258" t="s">
        <v>220</v>
      </c>
      <c r="O44" s="259"/>
      <c r="P44" s="325">
        <f>+AC42</f>
        <v>0.65314685314685317</v>
      </c>
      <c r="Q44" s="325">
        <f>+AG42</f>
        <v>0.73281249999999998</v>
      </c>
      <c r="R44" s="265">
        <f>+AK42</f>
        <v>0.62583892617449666</v>
      </c>
      <c r="S44" s="265"/>
      <c r="T44" s="295"/>
      <c r="U44" s="296"/>
      <c r="V44" s="314"/>
      <c r="W44" s="298"/>
      <c r="AA44" s="220"/>
      <c r="AB44" s="220"/>
      <c r="AC44" s="308"/>
      <c r="AD44" s="308"/>
      <c r="AE44" s="271"/>
      <c r="AF44" s="271"/>
      <c r="AG44" s="311"/>
      <c r="AH44" s="235"/>
      <c r="AK44" s="312"/>
      <c r="AL44" s="235"/>
      <c r="AP44" s="235"/>
      <c r="AQ44" s="235"/>
      <c r="AR44" s="235"/>
      <c r="AS44" s="235"/>
    </row>
    <row r="45" spans="1:45" ht="24.95" customHeight="1" thickBot="1" x14ac:dyDescent="0.3">
      <c r="A45" s="255"/>
      <c r="B45" s="315" t="s">
        <v>251</v>
      </c>
      <c r="C45" s="257" t="s">
        <v>252</v>
      </c>
      <c r="D45" s="257" t="s">
        <v>253</v>
      </c>
      <c r="E45" s="258" t="s">
        <v>254</v>
      </c>
      <c r="F45" s="259"/>
      <c r="G45" s="260" t="s">
        <v>255</v>
      </c>
      <c r="H45" s="261"/>
      <c r="I45" s="262" t="s">
        <v>25</v>
      </c>
      <c r="J45" s="262" t="s">
        <v>8</v>
      </c>
      <c r="K45" s="262" t="s">
        <v>10</v>
      </c>
      <c r="L45" s="262" t="s">
        <v>79</v>
      </c>
      <c r="M45" s="262" t="s">
        <v>23</v>
      </c>
      <c r="N45" s="299">
        <v>2022</v>
      </c>
      <c r="O45" s="300">
        <v>0.09</v>
      </c>
      <c r="P45" s="300">
        <v>0.09</v>
      </c>
      <c r="Q45" s="300">
        <v>0.09</v>
      </c>
      <c r="R45" s="300">
        <v>0.09</v>
      </c>
      <c r="S45" s="300">
        <v>0.09</v>
      </c>
      <c r="T45" s="267">
        <f>SUM(P46:S46)</f>
        <v>49</v>
      </c>
      <c r="U45" s="268">
        <f>+AS45</f>
        <v>8.957952468007313E-2</v>
      </c>
      <c r="V45" s="307" t="s">
        <v>35</v>
      </c>
      <c r="W45" s="270">
        <f>+U45/O45-1</f>
        <v>-4.6719479991873536E-3</v>
      </c>
      <c r="AA45" s="220">
        <v>19</v>
      </c>
      <c r="AB45" s="220">
        <v>186</v>
      </c>
      <c r="AC45" s="308">
        <f t="shared" si="0"/>
        <v>0.10215053763440861</v>
      </c>
      <c r="AD45" s="326">
        <f>3/35</f>
        <v>8.5714285714285715E-2</v>
      </c>
      <c r="AE45" s="271">
        <v>17</v>
      </c>
      <c r="AF45" s="271">
        <v>176</v>
      </c>
      <c r="AG45" s="308">
        <f t="shared" ref="AG45:AG54" si="2">+AE45/AF45</f>
        <v>9.6590909090909088E-2</v>
      </c>
      <c r="AH45" s="235"/>
      <c r="AI45" s="273">
        <v>13</v>
      </c>
      <c r="AJ45" s="316">
        <v>185</v>
      </c>
      <c r="AK45" s="237">
        <f>+AI45/AJ45</f>
        <v>7.0270270270270274E-2</v>
      </c>
      <c r="AL45" s="235"/>
      <c r="AM45" s="274"/>
      <c r="AN45" s="274"/>
      <c r="AO45" s="275"/>
      <c r="AP45" s="235"/>
      <c r="AQ45" s="220">
        <f>+AA45+AE45+AI45+AM45</f>
        <v>49</v>
      </c>
      <c r="AR45" s="220">
        <f>+AB45+AF45+AJ45+AN45</f>
        <v>547</v>
      </c>
      <c r="AS45" s="235">
        <f>+AQ45/AR45</f>
        <v>8.957952468007313E-2</v>
      </c>
    </row>
    <row r="46" spans="1:45" ht="24.95" customHeight="1" thickBot="1" x14ac:dyDescent="0.3">
      <c r="A46" s="255"/>
      <c r="B46" s="318"/>
      <c r="C46" s="277"/>
      <c r="D46" s="277"/>
      <c r="E46" s="278"/>
      <c r="F46" s="279"/>
      <c r="G46" s="280"/>
      <c r="H46" s="281"/>
      <c r="I46" s="282"/>
      <c r="J46" s="282"/>
      <c r="K46" s="282"/>
      <c r="L46" s="282"/>
      <c r="M46" s="282"/>
      <c r="N46" s="258" t="s">
        <v>219</v>
      </c>
      <c r="O46" s="259"/>
      <c r="P46" s="283">
        <f>+AA45</f>
        <v>19</v>
      </c>
      <c r="Q46" s="283">
        <f>+AE45</f>
        <v>17</v>
      </c>
      <c r="R46" s="283">
        <f>+AI45</f>
        <v>13</v>
      </c>
      <c r="S46" s="283"/>
      <c r="T46" s="284"/>
      <c r="U46" s="285"/>
      <c r="V46" s="310"/>
      <c r="W46" s="287"/>
      <c r="AA46" s="220"/>
      <c r="AB46" s="220"/>
      <c r="AC46" s="308"/>
      <c r="AD46" s="326"/>
      <c r="AE46" s="271"/>
      <c r="AF46" s="271"/>
      <c r="AG46" s="308"/>
      <c r="AH46" s="235"/>
      <c r="AK46" s="312"/>
      <c r="AL46" s="235"/>
      <c r="AP46" s="235"/>
      <c r="AQ46" s="235"/>
      <c r="AR46" s="235"/>
      <c r="AS46" s="235"/>
    </row>
    <row r="47" spans="1:45" ht="24.95" customHeight="1" thickBot="1" x14ac:dyDescent="0.3">
      <c r="A47" s="255"/>
      <c r="B47" s="318"/>
      <c r="C47" s="277"/>
      <c r="D47" s="288"/>
      <c r="E47" s="289"/>
      <c r="F47" s="290"/>
      <c r="G47" s="291"/>
      <c r="H47" s="292"/>
      <c r="I47" s="293"/>
      <c r="J47" s="293"/>
      <c r="K47" s="293"/>
      <c r="L47" s="293"/>
      <c r="M47" s="293"/>
      <c r="N47" s="258" t="s">
        <v>220</v>
      </c>
      <c r="O47" s="259"/>
      <c r="P47" s="325">
        <f>+AC45</f>
        <v>0.10215053763440861</v>
      </c>
      <c r="Q47" s="325">
        <f>+AG45</f>
        <v>9.6590909090909088E-2</v>
      </c>
      <c r="R47" s="265">
        <f>+AK45</f>
        <v>7.0270270270270274E-2</v>
      </c>
      <c r="S47" s="265"/>
      <c r="T47" s="295"/>
      <c r="U47" s="296"/>
      <c r="V47" s="314"/>
      <c r="W47" s="298"/>
      <c r="AA47" s="220"/>
      <c r="AB47" s="220"/>
      <c r="AC47" s="308"/>
      <c r="AD47" s="326"/>
      <c r="AE47" s="271"/>
      <c r="AF47" s="271"/>
      <c r="AG47" s="308"/>
      <c r="AH47" s="235"/>
      <c r="AK47" s="312"/>
      <c r="AL47" s="235"/>
      <c r="AP47" s="235"/>
      <c r="AQ47" s="235"/>
      <c r="AR47" s="235"/>
      <c r="AS47" s="235"/>
    </row>
    <row r="48" spans="1:45" ht="24.95" customHeight="1" thickBot="1" x14ac:dyDescent="0.3">
      <c r="A48" s="255"/>
      <c r="B48" s="318"/>
      <c r="C48" s="277"/>
      <c r="D48" s="257" t="s">
        <v>256</v>
      </c>
      <c r="E48" s="258" t="s">
        <v>257</v>
      </c>
      <c r="F48" s="259"/>
      <c r="G48" s="260" t="s">
        <v>258</v>
      </c>
      <c r="H48" s="261"/>
      <c r="I48" s="262" t="s">
        <v>25</v>
      </c>
      <c r="J48" s="262" t="s">
        <v>8</v>
      </c>
      <c r="K48" s="262" t="s">
        <v>10</v>
      </c>
      <c r="L48" s="262" t="s">
        <v>79</v>
      </c>
      <c r="M48" s="262" t="s">
        <v>23</v>
      </c>
      <c r="N48" s="299">
        <v>2022</v>
      </c>
      <c r="O48" s="300">
        <v>0.12</v>
      </c>
      <c r="P48" s="300">
        <v>0.12</v>
      </c>
      <c r="Q48" s="300">
        <v>0.12</v>
      </c>
      <c r="R48" s="300">
        <v>0.12</v>
      </c>
      <c r="S48" s="300">
        <v>0.12</v>
      </c>
      <c r="T48" s="267">
        <f>SUM(P49:S49)</f>
        <v>138</v>
      </c>
      <c r="U48" s="268">
        <f>+AS48</f>
        <v>0.25228519195612431</v>
      </c>
      <c r="V48" s="301" t="s">
        <v>37</v>
      </c>
      <c r="W48" s="270">
        <f>+U48/O48-1</f>
        <v>1.1023765996343693</v>
      </c>
      <c r="AA48" s="220">
        <v>41</v>
      </c>
      <c r="AB48" s="220">
        <v>186</v>
      </c>
      <c r="AC48" s="308">
        <f t="shared" si="0"/>
        <v>0.22043010752688172</v>
      </c>
      <c r="AD48" s="326">
        <f>18/35</f>
        <v>0.51428571428571423</v>
      </c>
      <c r="AE48" s="271">
        <v>49</v>
      </c>
      <c r="AF48" s="271">
        <v>176</v>
      </c>
      <c r="AG48" s="308">
        <f t="shared" si="2"/>
        <v>0.27840909090909088</v>
      </c>
      <c r="AH48" s="235"/>
      <c r="AI48" s="273">
        <v>48</v>
      </c>
      <c r="AJ48" s="273">
        <v>185</v>
      </c>
      <c r="AK48" s="237">
        <f>+AI48/AJ48</f>
        <v>0.25945945945945947</v>
      </c>
      <c r="AL48" s="235"/>
      <c r="AM48" s="274"/>
      <c r="AN48" s="271"/>
      <c r="AO48" s="275"/>
      <c r="AP48" s="235"/>
      <c r="AQ48" s="220">
        <f>+AA48+AE48+AI48+AM48</f>
        <v>138</v>
      </c>
      <c r="AR48" s="220">
        <f>+AB48+AF48+AJ48+AN48</f>
        <v>547</v>
      </c>
      <c r="AS48" s="235">
        <f>+AQ48/AR48</f>
        <v>0.25228519195612431</v>
      </c>
    </row>
    <row r="49" spans="1:45" ht="24.95" customHeight="1" thickBot="1" x14ac:dyDescent="0.3">
      <c r="A49" s="255"/>
      <c r="B49" s="318"/>
      <c r="C49" s="277"/>
      <c r="D49" s="277"/>
      <c r="E49" s="278"/>
      <c r="F49" s="279"/>
      <c r="G49" s="280"/>
      <c r="H49" s="281"/>
      <c r="I49" s="282"/>
      <c r="J49" s="282"/>
      <c r="K49" s="282"/>
      <c r="L49" s="282"/>
      <c r="M49" s="282"/>
      <c r="N49" s="258" t="s">
        <v>219</v>
      </c>
      <c r="O49" s="259"/>
      <c r="P49" s="283">
        <f>+AA48</f>
        <v>41</v>
      </c>
      <c r="Q49" s="283">
        <f>+AE48</f>
        <v>49</v>
      </c>
      <c r="R49" s="283">
        <f>+AI48</f>
        <v>48</v>
      </c>
      <c r="S49" s="283"/>
      <c r="T49" s="284"/>
      <c r="U49" s="285"/>
      <c r="V49" s="304"/>
      <c r="W49" s="287"/>
      <c r="AA49" s="220"/>
      <c r="AB49" s="220"/>
      <c r="AC49" s="308"/>
      <c r="AD49" s="326"/>
      <c r="AE49" s="271"/>
      <c r="AF49" s="271"/>
      <c r="AG49" s="308"/>
      <c r="AH49" s="235"/>
      <c r="AK49" s="312"/>
      <c r="AL49" s="235"/>
      <c r="AP49" s="235"/>
      <c r="AQ49" s="235"/>
      <c r="AR49" s="235"/>
      <c r="AS49" s="235"/>
    </row>
    <row r="50" spans="1:45" ht="24.95" customHeight="1" thickBot="1" x14ac:dyDescent="0.3">
      <c r="A50" s="255"/>
      <c r="B50" s="318"/>
      <c r="C50" s="277"/>
      <c r="D50" s="288"/>
      <c r="E50" s="289"/>
      <c r="F50" s="290"/>
      <c r="G50" s="291"/>
      <c r="H50" s="292"/>
      <c r="I50" s="293"/>
      <c r="J50" s="293"/>
      <c r="K50" s="293"/>
      <c r="L50" s="293"/>
      <c r="M50" s="293"/>
      <c r="N50" s="258" t="s">
        <v>220</v>
      </c>
      <c r="O50" s="259"/>
      <c r="P50" s="325">
        <f>+AC48</f>
        <v>0.22043010752688172</v>
      </c>
      <c r="Q50" s="325">
        <f>+AG48</f>
        <v>0.27840909090909088</v>
      </c>
      <c r="R50" s="265">
        <f>+AK48</f>
        <v>0.25945945945945947</v>
      </c>
      <c r="S50" s="265"/>
      <c r="T50" s="295"/>
      <c r="U50" s="296"/>
      <c r="V50" s="306"/>
      <c r="W50" s="298"/>
      <c r="AA50" s="220"/>
      <c r="AB50" s="220"/>
      <c r="AC50" s="308"/>
      <c r="AD50" s="326"/>
      <c r="AE50" s="271"/>
      <c r="AF50" s="271"/>
      <c r="AG50" s="308"/>
      <c r="AH50" s="235"/>
      <c r="AK50" s="312"/>
      <c r="AL50" s="235"/>
      <c r="AP50" s="235"/>
      <c r="AQ50" s="235"/>
      <c r="AR50" s="235"/>
      <c r="AS50" s="235"/>
    </row>
    <row r="51" spans="1:45" ht="24.95" customHeight="1" thickBot="1" x14ac:dyDescent="0.3">
      <c r="A51" s="255"/>
      <c r="B51" s="318"/>
      <c r="C51" s="277"/>
      <c r="D51" s="257" t="s">
        <v>259</v>
      </c>
      <c r="E51" s="258" t="s">
        <v>260</v>
      </c>
      <c r="F51" s="259"/>
      <c r="G51" s="260" t="s">
        <v>261</v>
      </c>
      <c r="H51" s="261"/>
      <c r="I51" s="262" t="s">
        <v>25</v>
      </c>
      <c r="J51" s="262" t="s">
        <v>8</v>
      </c>
      <c r="K51" s="262" t="s">
        <v>10</v>
      </c>
      <c r="L51" s="262" t="s">
        <v>12</v>
      </c>
      <c r="M51" s="262" t="s">
        <v>23</v>
      </c>
      <c r="N51" s="299">
        <v>2022</v>
      </c>
      <c r="O51" s="265">
        <v>0.27</v>
      </c>
      <c r="P51" s="265">
        <v>0.27</v>
      </c>
      <c r="Q51" s="265">
        <v>0.27</v>
      </c>
      <c r="R51" s="265">
        <v>0.27</v>
      </c>
      <c r="S51" s="265">
        <v>0.27</v>
      </c>
      <c r="T51" s="267">
        <f>SUM(P52:S52)</f>
        <v>209</v>
      </c>
      <c r="U51" s="268">
        <f>+AS51</f>
        <v>0.38208409506398539</v>
      </c>
      <c r="V51" s="301" t="s">
        <v>37</v>
      </c>
      <c r="W51" s="270">
        <f>+U51/O51-1</f>
        <v>0.41512627801476065</v>
      </c>
      <c r="AA51" s="220">
        <v>59</v>
      </c>
      <c r="AB51" s="220">
        <v>186</v>
      </c>
      <c r="AC51" s="308">
        <f t="shared" si="0"/>
        <v>0.31720430107526881</v>
      </c>
      <c r="AD51" s="326">
        <f>12/35</f>
        <v>0.34285714285714286</v>
      </c>
      <c r="AE51" s="271">
        <v>82</v>
      </c>
      <c r="AF51" s="271">
        <v>176</v>
      </c>
      <c r="AG51" s="308">
        <f t="shared" si="2"/>
        <v>0.46590909090909088</v>
      </c>
      <c r="AH51" s="235"/>
      <c r="AI51" s="273">
        <v>68</v>
      </c>
      <c r="AJ51" s="273">
        <v>185</v>
      </c>
      <c r="AK51" s="237">
        <f>+AI51/AJ51</f>
        <v>0.36756756756756759</v>
      </c>
      <c r="AL51" s="235"/>
      <c r="AM51" s="274"/>
      <c r="AN51" s="271"/>
      <c r="AO51" s="275"/>
      <c r="AP51" s="235"/>
      <c r="AQ51" s="220">
        <f>+AA51+AE51+AI51+AM51</f>
        <v>209</v>
      </c>
      <c r="AR51" s="220">
        <f>+AB51+AF51+AJ51+AN51</f>
        <v>547</v>
      </c>
      <c r="AS51" s="235">
        <f>+AQ51/AR51</f>
        <v>0.38208409506398539</v>
      </c>
    </row>
    <row r="52" spans="1:45" ht="24.95" customHeight="1" thickBot="1" x14ac:dyDescent="0.3">
      <c r="A52" s="255"/>
      <c r="B52" s="318"/>
      <c r="C52" s="277"/>
      <c r="D52" s="277"/>
      <c r="E52" s="278"/>
      <c r="F52" s="279"/>
      <c r="G52" s="280"/>
      <c r="H52" s="281"/>
      <c r="I52" s="282"/>
      <c r="J52" s="282"/>
      <c r="K52" s="282"/>
      <c r="L52" s="282"/>
      <c r="M52" s="282"/>
      <c r="N52" s="258" t="s">
        <v>219</v>
      </c>
      <c r="O52" s="259"/>
      <c r="P52" s="283">
        <f>+AA51</f>
        <v>59</v>
      </c>
      <c r="Q52" s="283">
        <f>+AE51</f>
        <v>82</v>
      </c>
      <c r="R52" s="283">
        <f>+AI51</f>
        <v>68</v>
      </c>
      <c r="S52" s="283"/>
      <c r="T52" s="284"/>
      <c r="U52" s="285"/>
      <c r="V52" s="304"/>
      <c r="W52" s="287"/>
      <c r="AA52" s="220"/>
      <c r="AB52" s="220"/>
      <c r="AC52" s="308"/>
      <c r="AD52" s="326"/>
      <c r="AE52" s="271"/>
      <c r="AF52" s="271"/>
      <c r="AG52" s="308"/>
      <c r="AH52" s="235"/>
      <c r="AK52" s="312"/>
      <c r="AL52" s="235"/>
      <c r="AP52" s="235"/>
      <c r="AQ52" s="235"/>
      <c r="AR52" s="235"/>
      <c r="AS52" s="235"/>
    </row>
    <row r="53" spans="1:45" ht="24.95" customHeight="1" thickBot="1" x14ac:dyDescent="0.3">
      <c r="A53" s="255"/>
      <c r="B53" s="318"/>
      <c r="C53" s="277"/>
      <c r="D53" s="288"/>
      <c r="E53" s="289"/>
      <c r="F53" s="290"/>
      <c r="G53" s="291"/>
      <c r="H53" s="292"/>
      <c r="I53" s="293"/>
      <c r="J53" s="293"/>
      <c r="K53" s="293"/>
      <c r="L53" s="293"/>
      <c r="M53" s="293"/>
      <c r="N53" s="258" t="s">
        <v>220</v>
      </c>
      <c r="O53" s="259"/>
      <c r="P53" s="325">
        <f>+AC51</f>
        <v>0.31720430107526881</v>
      </c>
      <c r="Q53" s="325">
        <f>+AG51</f>
        <v>0.46590909090909088</v>
      </c>
      <c r="R53" s="265">
        <f>+AK51</f>
        <v>0.36756756756756759</v>
      </c>
      <c r="S53" s="265"/>
      <c r="T53" s="295"/>
      <c r="U53" s="296"/>
      <c r="V53" s="306"/>
      <c r="W53" s="298"/>
      <c r="AA53" s="220"/>
      <c r="AB53" s="220"/>
      <c r="AC53" s="308"/>
      <c r="AD53" s="326"/>
      <c r="AE53" s="271"/>
      <c r="AF53" s="271"/>
      <c r="AG53" s="308"/>
      <c r="AH53" s="235"/>
      <c r="AK53" s="312"/>
      <c r="AL53" s="235"/>
      <c r="AP53" s="235"/>
      <c r="AQ53" s="235"/>
      <c r="AR53" s="235"/>
      <c r="AS53" s="235"/>
    </row>
    <row r="54" spans="1:45" ht="24.95" customHeight="1" thickBot="1" x14ac:dyDescent="0.3">
      <c r="A54" s="255"/>
      <c r="B54" s="318"/>
      <c r="C54" s="277"/>
      <c r="D54" s="257" t="s">
        <v>262</v>
      </c>
      <c r="E54" s="258" t="s">
        <v>263</v>
      </c>
      <c r="F54" s="259"/>
      <c r="G54" s="260" t="s">
        <v>264</v>
      </c>
      <c r="H54" s="261"/>
      <c r="I54" s="262" t="s">
        <v>25</v>
      </c>
      <c r="J54" s="262" t="s">
        <v>8</v>
      </c>
      <c r="K54" s="262" t="s">
        <v>10</v>
      </c>
      <c r="L54" s="262" t="s">
        <v>12</v>
      </c>
      <c r="M54" s="262" t="s">
        <v>23</v>
      </c>
      <c r="N54" s="299">
        <v>2022</v>
      </c>
      <c r="O54" s="265">
        <v>0.95</v>
      </c>
      <c r="P54" s="265">
        <v>0.95</v>
      </c>
      <c r="Q54" s="265">
        <v>0.95</v>
      </c>
      <c r="R54" s="265">
        <v>0.95</v>
      </c>
      <c r="S54" s="265">
        <v>0.95</v>
      </c>
      <c r="T54" s="267">
        <f>SUM(P55:S55)</f>
        <v>547</v>
      </c>
      <c r="U54" s="268">
        <f>+AS54</f>
        <v>0.98558558558558562</v>
      </c>
      <c r="V54" s="307" t="s">
        <v>35</v>
      </c>
      <c r="W54" s="270">
        <f>+U54/O54-1</f>
        <v>3.7458511142721695E-2</v>
      </c>
      <c r="AA54" s="220">
        <v>186</v>
      </c>
      <c r="AB54" s="220">
        <v>189</v>
      </c>
      <c r="AC54" s="308">
        <f t="shared" si="0"/>
        <v>0.98412698412698407</v>
      </c>
      <c r="AD54" s="326">
        <f>35/37</f>
        <v>0.94594594594594594</v>
      </c>
      <c r="AE54" s="271">
        <v>176</v>
      </c>
      <c r="AF54" s="271">
        <v>181</v>
      </c>
      <c r="AG54" s="308">
        <f t="shared" si="2"/>
        <v>0.97237569060773477</v>
      </c>
      <c r="AH54" s="235"/>
      <c r="AI54" s="273">
        <v>185</v>
      </c>
      <c r="AJ54" s="273">
        <v>185</v>
      </c>
      <c r="AK54" s="237">
        <f>+AI54/AJ54</f>
        <v>1</v>
      </c>
      <c r="AL54" s="235"/>
      <c r="AM54" s="271"/>
      <c r="AN54" s="274"/>
      <c r="AO54" s="317"/>
      <c r="AP54" s="235"/>
      <c r="AQ54" s="220">
        <f>+AA54+AE54+AI54+AM54</f>
        <v>547</v>
      </c>
      <c r="AR54" s="220">
        <f>+AB54+AF54+AJ54+AN54</f>
        <v>555</v>
      </c>
      <c r="AS54" s="235">
        <f>+AQ54/AR54</f>
        <v>0.98558558558558562</v>
      </c>
    </row>
    <row r="55" spans="1:45" ht="24.95" customHeight="1" thickBot="1" x14ac:dyDescent="0.3">
      <c r="A55" s="255"/>
      <c r="B55" s="318"/>
      <c r="C55" s="277"/>
      <c r="D55" s="277"/>
      <c r="E55" s="278"/>
      <c r="F55" s="279"/>
      <c r="G55" s="280"/>
      <c r="H55" s="281"/>
      <c r="I55" s="282"/>
      <c r="J55" s="282"/>
      <c r="K55" s="282"/>
      <c r="L55" s="282"/>
      <c r="M55" s="282"/>
      <c r="N55" s="258" t="s">
        <v>219</v>
      </c>
      <c r="O55" s="259"/>
      <c r="P55" s="283">
        <f>+AA54</f>
        <v>186</v>
      </c>
      <c r="Q55" s="283">
        <f>+AE54</f>
        <v>176</v>
      </c>
      <c r="R55" s="283">
        <f>+AI54</f>
        <v>185</v>
      </c>
      <c r="S55" s="283"/>
      <c r="T55" s="284"/>
      <c r="U55" s="285"/>
      <c r="V55" s="310"/>
      <c r="W55" s="287"/>
      <c r="AA55" s="220"/>
      <c r="AB55" s="220"/>
      <c r="AC55" s="308"/>
      <c r="AD55" s="327"/>
      <c r="AE55" s="271"/>
      <c r="AF55" s="271"/>
      <c r="AG55" s="311"/>
      <c r="AH55" s="235"/>
      <c r="AK55" s="312"/>
      <c r="AL55" s="235"/>
      <c r="AP55" s="235"/>
      <c r="AQ55" s="235"/>
      <c r="AR55" s="235"/>
      <c r="AS55" s="235"/>
    </row>
    <row r="56" spans="1:45" ht="24.95" customHeight="1" thickBot="1" x14ac:dyDescent="0.3">
      <c r="A56" s="255"/>
      <c r="B56" s="319"/>
      <c r="C56" s="288"/>
      <c r="D56" s="288"/>
      <c r="E56" s="289"/>
      <c r="F56" s="290"/>
      <c r="G56" s="291"/>
      <c r="H56" s="292"/>
      <c r="I56" s="293"/>
      <c r="J56" s="293"/>
      <c r="K56" s="293"/>
      <c r="L56" s="293"/>
      <c r="M56" s="293"/>
      <c r="N56" s="258" t="s">
        <v>220</v>
      </c>
      <c r="O56" s="259"/>
      <c r="P56" s="325">
        <f>+AC54</f>
        <v>0.98412698412698407</v>
      </c>
      <c r="Q56" s="325">
        <f>+AG54</f>
        <v>0.97237569060773477</v>
      </c>
      <c r="R56" s="265">
        <f>+AK54</f>
        <v>1</v>
      </c>
      <c r="S56" s="265"/>
      <c r="T56" s="295"/>
      <c r="U56" s="296"/>
      <c r="V56" s="314"/>
      <c r="W56" s="298"/>
      <c r="AA56" s="220"/>
      <c r="AB56" s="220"/>
      <c r="AC56" s="308"/>
      <c r="AD56" s="327"/>
      <c r="AE56" s="271"/>
      <c r="AF56" s="271"/>
      <c r="AG56" s="311"/>
      <c r="AH56" s="235"/>
      <c r="AK56" s="312"/>
      <c r="AL56" s="235"/>
      <c r="AP56" s="235"/>
      <c r="AQ56" s="235"/>
      <c r="AR56" s="235"/>
      <c r="AS56" s="235"/>
    </row>
    <row r="57" spans="1:45" ht="24.95" customHeight="1" thickBot="1" x14ac:dyDescent="0.3">
      <c r="A57" s="255"/>
      <c r="B57" s="315" t="s">
        <v>265</v>
      </c>
      <c r="C57" s="257" t="s">
        <v>266</v>
      </c>
      <c r="D57" s="257" t="s">
        <v>267</v>
      </c>
      <c r="E57" s="258" t="s">
        <v>268</v>
      </c>
      <c r="F57" s="259"/>
      <c r="G57" s="260" t="s">
        <v>269</v>
      </c>
      <c r="H57" s="261"/>
      <c r="I57" s="262" t="s">
        <v>25</v>
      </c>
      <c r="J57" s="262" t="s">
        <v>8</v>
      </c>
      <c r="K57" s="262" t="s">
        <v>10</v>
      </c>
      <c r="L57" s="262" t="s">
        <v>12</v>
      </c>
      <c r="M57" s="262" t="s">
        <v>23</v>
      </c>
      <c r="N57" s="299">
        <v>2019</v>
      </c>
      <c r="O57" s="265">
        <v>0.7</v>
      </c>
      <c r="P57" s="265">
        <v>0.7</v>
      </c>
      <c r="Q57" s="265">
        <v>0.7</v>
      </c>
      <c r="R57" s="265">
        <v>0.7</v>
      </c>
      <c r="S57" s="265">
        <v>0.7</v>
      </c>
      <c r="T57" s="267">
        <f>SUM(P58:S58)</f>
        <v>1407</v>
      </c>
      <c r="U57" s="268">
        <f>+AS57</f>
        <v>0.72116863147104049</v>
      </c>
      <c r="V57" s="307" t="s">
        <v>35</v>
      </c>
      <c r="W57" s="270">
        <f>+U57/O57-1</f>
        <v>3.0240902101486444E-2</v>
      </c>
      <c r="AA57" s="220">
        <v>538</v>
      </c>
      <c r="AB57" s="220">
        <v>715</v>
      </c>
      <c r="AC57" s="308">
        <f t="shared" si="0"/>
        <v>0.75244755244755246</v>
      </c>
      <c r="AD57" s="308"/>
      <c r="AE57" s="271">
        <v>437</v>
      </c>
      <c r="AF57" s="271">
        <v>640</v>
      </c>
      <c r="AG57" s="328">
        <f t="shared" ref="AG57:AG60" si="3">+AE57/AF57</f>
        <v>0.68281250000000004</v>
      </c>
      <c r="AH57" s="235"/>
      <c r="AI57" s="273">
        <v>432</v>
      </c>
      <c r="AJ57" s="273">
        <v>596</v>
      </c>
      <c r="AK57" s="237">
        <f>+AI57/AJ57</f>
        <v>0.72483221476510062</v>
      </c>
      <c r="AL57" s="235"/>
      <c r="AM57" s="274"/>
      <c r="AN57" s="271"/>
      <c r="AO57" s="317"/>
      <c r="AP57" s="235"/>
      <c r="AQ57" s="220">
        <f>+AA57+AE57+AI57+AM57</f>
        <v>1407</v>
      </c>
      <c r="AR57" s="220">
        <f>+AB57+AF57+AJ57+AN57</f>
        <v>1951</v>
      </c>
      <c r="AS57" s="235">
        <f>+AQ57/AR57</f>
        <v>0.72116863147104049</v>
      </c>
    </row>
    <row r="58" spans="1:45" ht="24.95" customHeight="1" thickBot="1" x14ac:dyDescent="0.3">
      <c r="A58" s="329"/>
      <c r="B58" s="318"/>
      <c r="C58" s="277"/>
      <c r="D58" s="277"/>
      <c r="E58" s="278"/>
      <c r="F58" s="279"/>
      <c r="G58" s="280"/>
      <c r="H58" s="281"/>
      <c r="I58" s="282"/>
      <c r="J58" s="282"/>
      <c r="K58" s="282"/>
      <c r="L58" s="282"/>
      <c r="M58" s="282"/>
      <c r="N58" s="258" t="s">
        <v>219</v>
      </c>
      <c r="O58" s="259"/>
      <c r="P58" s="283">
        <f>+AA57</f>
        <v>538</v>
      </c>
      <c r="Q58" s="283">
        <f>+AE57</f>
        <v>437</v>
      </c>
      <c r="R58" s="283">
        <f>+AI57</f>
        <v>432</v>
      </c>
      <c r="S58" s="283"/>
      <c r="T58" s="284"/>
      <c r="U58" s="285"/>
      <c r="V58" s="310"/>
      <c r="W58" s="287"/>
      <c r="AA58" s="220"/>
      <c r="AB58" s="220"/>
      <c r="AC58" s="308"/>
      <c r="AD58" s="308"/>
      <c r="AE58" s="271"/>
      <c r="AF58" s="271"/>
      <c r="AG58" s="328"/>
      <c r="AH58" s="235"/>
      <c r="AK58" s="312"/>
      <c r="AL58" s="235"/>
      <c r="AP58" s="235"/>
      <c r="AQ58" s="235"/>
      <c r="AR58" s="235"/>
      <c r="AS58" s="235"/>
    </row>
    <row r="59" spans="1:45" ht="24.95" customHeight="1" thickBot="1" x14ac:dyDescent="0.3">
      <c r="A59" s="329"/>
      <c r="B59" s="319"/>
      <c r="C59" s="288"/>
      <c r="D59" s="288"/>
      <c r="E59" s="289"/>
      <c r="F59" s="290"/>
      <c r="G59" s="291"/>
      <c r="H59" s="292"/>
      <c r="I59" s="293"/>
      <c r="J59" s="293"/>
      <c r="K59" s="293"/>
      <c r="L59" s="293"/>
      <c r="M59" s="293"/>
      <c r="N59" s="258" t="s">
        <v>220</v>
      </c>
      <c r="O59" s="259"/>
      <c r="P59" s="325">
        <f>+AC57</f>
        <v>0.75244755244755246</v>
      </c>
      <c r="Q59" s="325">
        <f>+AG57</f>
        <v>0.68281250000000004</v>
      </c>
      <c r="R59" s="265">
        <f>+AK57</f>
        <v>0.72483221476510062</v>
      </c>
      <c r="S59" s="265"/>
      <c r="T59" s="295"/>
      <c r="U59" s="296"/>
      <c r="V59" s="314"/>
      <c r="W59" s="298"/>
      <c r="AA59" s="220"/>
      <c r="AB59" s="220"/>
      <c r="AC59" s="308"/>
      <c r="AD59" s="308"/>
      <c r="AE59" s="271"/>
      <c r="AF59" s="271"/>
      <c r="AG59" s="328"/>
      <c r="AH59" s="235"/>
      <c r="AK59" s="312"/>
      <c r="AL59" s="235"/>
      <c r="AP59" s="235"/>
      <c r="AQ59" s="235"/>
      <c r="AR59" s="235"/>
      <c r="AS59" s="235"/>
    </row>
    <row r="60" spans="1:45" ht="24.95" customHeight="1" thickBot="1" x14ac:dyDescent="0.3">
      <c r="A60" s="330" t="s">
        <v>270</v>
      </c>
      <c r="B60" s="331" t="s">
        <v>271</v>
      </c>
      <c r="C60" s="332" t="s">
        <v>272</v>
      </c>
      <c r="D60" s="332" t="s">
        <v>273</v>
      </c>
      <c r="E60" s="333" t="s">
        <v>274</v>
      </c>
      <c r="F60" s="334"/>
      <c r="G60" s="335" t="s">
        <v>275</v>
      </c>
      <c r="H60" s="336"/>
      <c r="I60" s="337" t="s">
        <v>25</v>
      </c>
      <c r="J60" s="337" t="s">
        <v>8</v>
      </c>
      <c r="K60" s="337" t="s">
        <v>10</v>
      </c>
      <c r="L60" s="337" t="s">
        <v>12</v>
      </c>
      <c r="M60" s="337" t="s">
        <v>23</v>
      </c>
      <c r="N60" s="338">
        <v>2022</v>
      </c>
      <c r="O60" s="339">
        <v>0.4</v>
      </c>
      <c r="P60" s="339">
        <v>0.4</v>
      </c>
      <c r="Q60" s="339">
        <v>0.4</v>
      </c>
      <c r="R60" s="339">
        <v>0.4</v>
      </c>
      <c r="S60" s="339">
        <v>0.4</v>
      </c>
      <c r="T60" s="340">
        <f>SUM(P61:S61)</f>
        <v>908</v>
      </c>
      <c r="U60" s="341">
        <f>+AS60</f>
        <v>0.48452508004268946</v>
      </c>
      <c r="V60" s="342" t="s">
        <v>37</v>
      </c>
      <c r="W60" s="343">
        <f>+U60/O60-1</f>
        <v>0.21131270010672365</v>
      </c>
      <c r="AA60" s="220">
        <v>349</v>
      </c>
      <c r="AB60" s="220">
        <v>635</v>
      </c>
      <c r="AC60" s="308">
        <f t="shared" si="0"/>
        <v>0.5496062992125984</v>
      </c>
      <c r="AD60" s="308"/>
      <c r="AE60" s="344">
        <v>326</v>
      </c>
      <c r="AF60" s="344">
        <v>651</v>
      </c>
      <c r="AG60" s="345">
        <f t="shared" si="3"/>
        <v>0.50076804915514594</v>
      </c>
      <c r="AH60" s="308"/>
      <c r="AI60" s="273">
        <v>233</v>
      </c>
      <c r="AJ60" s="273">
        <v>588</v>
      </c>
      <c r="AK60" s="237">
        <f>+AI60/AJ60</f>
        <v>0.39625850340136054</v>
      </c>
      <c r="AL60" s="308"/>
      <c r="AM60" s="346"/>
      <c r="AN60" s="346"/>
      <c r="AO60" s="317"/>
      <c r="AP60" s="308"/>
      <c r="AQ60" s="220">
        <f>+AA60+AE60+AI60+AM60</f>
        <v>908</v>
      </c>
      <c r="AR60" s="220">
        <f>+AB60+AF60+AJ60+AN60</f>
        <v>1874</v>
      </c>
      <c r="AS60" s="235">
        <f>+AQ60/AR60</f>
        <v>0.48452508004268946</v>
      </c>
    </row>
    <row r="61" spans="1:45" ht="24.95" customHeight="1" thickBot="1" x14ac:dyDescent="0.3">
      <c r="A61" s="330"/>
      <c r="B61" s="347"/>
      <c r="C61" s="348"/>
      <c r="D61" s="348"/>
      <c r="E61" s="349"/>
      <c r="F61" s="350"/>
      <c r="G61" s="351"/>
      <c r="H61" s="352"/>
      <c r="I61" s="353"/>
      <c r="J61" s="353"/>
      <c r="K61" s="353"/>
      <c r="L61" s="353"/>
      <c r="M61" s="353"/>
      <c r="N61" s="333" t="s">
        <v>219</v>
      </c>
      <c r="O61" s="334"/>
      <c r="P61" s="354">
        <f>+AA60</f>
        <v>349</v>
      </c>
      <c r="Q61" s="355">
        <f>+AE60</f>
        <v>326</v>
      </c>
      <c r="R61" s="356">
        <f>+AI60</f>
        <v>233</v>
      </c>
      <c r="S61" s="356"/>
      <c r="T61" s="357"/>
      <c r="U61" s="358"/>
      <c r="V61" s="359"/>
      <c r="W61" s="360"/>
      <c r="AA61" s="220"/>
      <c r="AB61" s="220"/>
      <c r="AC61" s="308"/>
      <c r="AD61" s="308"/>
      <c r="AE61" s="344"/>
      <c r="AF61" s="344"/>
      <c r="AG61" s="345"/>
      <c r="AH61" s="308"/>
      <c r="AK61" s="312"/>
      <c r="AL61" s="308"/>
      <c r="AP61" s="308"/>
      <c r="AQ61" s="308"/>
      <c r="AR61" s="308"/>
      <c r="AS61" s="308"/>
    </row>
    <row r="62" spans="1:45" ht="24.95" customHeight="1" thickBot="1" x14ac:dyDescent="0.3">
      <c r="A62" s="330"/>
      <c r="B62" s="347"/>
      <c r="C62" s="348"/>
      <c r="D62" s="361"/>
      <c r="E62" s="362"/>
      <c r="F62" s="363"/>
      <c r="G62" s="364"/>
      <c r="H62" s="365"/>
      <c r="I62" s="366"/>
      <c r="J62" s="366"/>
      <c r="K62" s="366"/>
      <c r="L62" s="366"/>
      <c r="M62" s="366"/>
      <c r="N62" s="333" t="s">
        <v>220</v>
      </c>
      <c r="O62" s="334"/>
      <c r="P62" s="367">
        <f>+AC60</f>
        <v>0.5496062992125984</v>
      </c>
      <c r="Q62" s="367">
        <f>+AG60</f>
        <v>0.50076804915514594</v>
      </c>
      <c r="R62" s="368">
        <f>+AK60</f>
        <v>0.39625850340136054</v>
      </c>
      <c r="S62" s="368"/>
      <c r="T62" s="369"/>
      <c r="U62" s="370"/>
      <c r="V62" s="371"/>
      <c r="W62" s="372"/>
      <c r="AA62" s="220"/>
      <c r="AB62" s="220"/>
      <c r="AC62" s="308"/>
      <c r="AD62" s="308"/>
      <c r="AE62" s="344"/>
      <c r="AF62" s="344"/>
      <c r="AG62" s="345"/>
      <c r="AH62" s="308"/>
      <c r="AK62" s="312"/>
      <c r="AL62" s="308"/>
      <c r="AP62" s="308"/>
      <c r="AQ62" s="308"/>
      <c r="AR62" s="308"/>
      <c r="AS62" s="308"/>
    </row>
    <row r="63" spans="1:45" ht="30" customHeight="1" thickBot="1" x14ac:dyDescent="0.3">
      <c r="A63" s="330"/>
      <c r="B63" s="347"/>
      <c r="C63" s="348"/>
      <c r="D63" s="332" t="s">
        <v>276</v>
      </c>
      <c r="E63" s="333" t="s">
        <v>277</v>
      </c>
      <c r="F63" s="334"/>
      <c r="G63" s="335" t="s">
        <v>278</v>
      </c>
      <c r="H63" s="336"/>
      <c r="I63" s="337" t="s">
        <v>25</v>
      </c>
      <c r="J63" s="337" t="s">
        <v>8</v>
      </c>
      <c r="K63" s="337" t="s">
        <v>10</v>
      </c>
      <c r="L63" s="337" t="s">
        <v>12</v>
      </c>
      <c r="M63" s="337" t="s">
        <v>19</v>
      </c>
      <c r="N63" s="338">
        <v>2022</v>
      </c>
      <c r="O63" s="339">
        <v>0.06</v>
      </c>
      <c r="P63" s="339">
        <v>0.06</v>
      </c>
      <c r="Q63" s="339">
        <v>0.06</v>
      </c>
      <c r="R63" s="339">
        <v>0.06</v>
      </c>
      <c r="S63" s="339">
        <v>0.06</v>
      </c>
      <c r="T63" s="340">
        <f>SUM(P64:S64)</f>
        <v>908</v>
      </c>
      <c r="U63" s="341">
        <f>+AS63</f>
        <v>0.11411042944785277</v>
      </c>
      <c r="V63" s="342" t="s">
        <v>37</v>
      </c>
      <c r="W63" s="343">
        <f>+U63/O63-1</f>
        <v>0.90184049079754613</v>
      </c>
      <c r="AA63" s="220">
        <v>349</v>
      </c>
      <c r="AB63" s="220">
        <v>219</v>
      </c>
      <c r="AC63" s="308">
        <f>((+AA63/AB63)-1)</f>
        <v>0.59360730593607314</v>
      </c>
      <c r="AD63" s="308"/>
      <c r="AE63" s="373">
        <v>326</v>
      </c>
      <c r="AF63" s="374">
        <v>347</v>
      </c>
      <c r="AG63" s="345">
        <f>((+AE63/AF63)-1)</f>
        <v>-6.0518731988472574E-2</v>
      </c>
      <c r="AH63" s="308"/>
      <c r="AI63" s="273">
        <v>233</v>
      </c>
      <c r="AJ63" s="273">
        <v>249</v>
      </c>
      <c r="AK63" s="237">
        <f>(+AI63/AJ63-1)</f>
        <v>-6.4257028112449821E-2</v>
      </c>
      <c r="AL63" s="308"/>
      <c r="AM63" s="271"/>
      <c r="AN63" s="375"/>
      <c r="AO63" s="317"/>
      <c r="AP63" s="308"/>
      <c r="AQ63" s="220">
        <f>+AA63+AE63+AI63+AM63</f>
        <v>908</v>
      </c>
      <c r="AR63" s="220">
        <f>+AB63+AF63+AJ63+AN63</f>
        <v>815</v>
      </c>
      <c r="AS63" s="235">
        <f>+AQ63/AR63-1</f>
        <v>0.11411042944785277</v>
      </c>
    </row>
    <row r="64" spans="1:45" ht="30" customHeight="1" thickBot="1" x14ac:dyDescent="0.3">
      <c r="A64" s="330"/>
      <c r="B64" s="347"/>
      <c r="C64" s="348"/>
      <c r="D64" s="348"/>
      <c r="E64" s="349"/>
      <c r="F64" s="350"/>
      <c r="G64" s="351"/>
      <c r="H64" s="352"/>
      <c r="I64" s="353"/>
      <c r="J64" s="353"/>
      <c r="K64" s="353"/>
      <c r="L64" s="353"/>
      <c r="M64" s="353"/>
      <c r="N64" s="333" t="s">
        <v>219</v>
      </c>
      <c r="O64" s="334"/>
      <c r="P64" s="356">
        <f>+AA63</f>
        <v>349</v>
      </c>
      <c r="Q64" s="356">
        <f>+AE63</f>
        <v>326</v>
      </c>
      <c r="R64" s="356">
        <f>+AI63</f>
        <v>233</v>
      </c>
      <c r="S64" s="356"/>
      <c r="T64" s="357"/>
      <c r="U64" s="358"/>
      <c r="V64" s="359"/>
      <c r="W64" s="360"/>
      <c r="AA64" s="220"/>
      <c r="AB64" s="220"/>
      <c r="AC64" s="308"/>
      <c r="AD64" s="308"/>
      <c r="AE64" s="373"/>
      <c r="AF64" s="374"/>
      <c r="AG64" s="345"/>
      <c r="AH64" s="308"/>
      <c r="AK64" s="312"/>
      <c r="AL64" s="308"/>
      <c r="AP64" s="308"/>
      <c r="AQ64" s="308"/>
      <c r="AR64" s="308"/>
      <c r="AS64" s="308"/>
    </row>
    <row r="65" spans="1:45" ht="30" customHeight="1" thickBot="1" x14ac:dyDescent="0.3">
      <c r="A65" s="330"/>
      <c r="B65" s="347"/>
      <c r="C65" s="348"/>
      <c r="D65" s="361"/>
      <c r="E65" s="362"/>
      <c r="F65" s="363"/>
      <c r="G65" s="364"/>
      <c r="H65" s="365"/>
      <c r="I65" s="366"/>
      <c r="J65" s="366"/>
      <c r="K65" s="366"/>
      <c r="L65" s="366"/>
      <c r="M65" s="366"/>
      <c r="N65" s="333" t="s">
        <v>220</v>
      </c>
      <c r="O65" s="334"/>
      <c r="P65" s="367">
        <f>+AC63</f>
        <v>0.59360730593607314</v>
      </c>
      <c r="Q65" s="367">
        <f>+AG63</f>
        <v>-6.0518731988472574E-2</v>
      </c>
      <c r="R65" s="368">
        <f>+AK63</f>
        <v>-6.4257028112449821E-2</v>
      </c>
      <c r="S65" s="368"/>
      <c r="T65" s="369"/>
      <c r="U65" s="370"/>
      <c r="V65" s="371"/>
      <c r="W65" s="372"/>
      <c r="AA65" s="220"/>
      <c r="AB65" s="220"/>
      <c r="AC65" s="308"/>
      <c r="AD65" s="308"/>
      <c r="AE65" s="373"/>
      <c r="AF65" s="374"/>
      <c r="AG65" s="345"/>
      <c r="AH65" s="308"/>
      <c r="AK65" s="312"/>
      <c r="AL65" s="308"/>
      <c r="AP65" s="308"/>
      <c r="AQ65" s="308"/>
      <c r="AR65" s="308"/>
      <c r="AS65" s="308"/>
    </row>
    <row r="66" spans="1:45" ht="24.95" customHeight="1" thickBot="1" x14ac:dyDescent="0.3">
      <c r="A66" s="330"/>
      <c r="B66" s="347"/>
      <c r="C66" s="348"/>
      <c r="D66" s="332" t="s">
        <v>279</v>
      </c>
      <c r="E66" s="333" t="s">
        <v>280</v>
      </c>
      <c r="F66" s="334"/>
      <c r="G66" s="335" t="s">
        <v>281</v>
      </c>
      <c r="H66" s="336"/>
      <c r="I66" s="337" t="s">
        <v>25</v>
      </c>
      <c r="J66" s="337" t="s">
        <v>8</v>
      </c>
      <c r="K66" s="337" t="s">
        <v>10</v>
      </c>
      <c r="L66" s="337" t="s">
        <v>12</v>
      </c>
      <c r="M66" s="337" t="s">
        <v>23</v>
      </c>
      <c r="N66" s="338">
        <v>2022</v>
      </c>
      <c r="O66" s="339">
        <v>0.75</v>
      </c>
      <c r="P66" s="339">
        <v>0.75</v>
      </c>
      <c r="Q66" s="339">
        <v>0.75</v>
      </c>
      <c r="R66" s="339">
        <v>0.75</v>
      </c>
      <c r="S66" s="339">
        <v>0.75</v>
      </c>
      <c r="T66" s="340">
        <f>SUM(P67:S67)</f>
        <v>418</v>
      </c>
      <c r="U66" s="341">
        <f>+AS66</f>
        <v>0.61651917404129797</v>
      </c>
      <c r="V66" s="376" t="s">
        <v>36</v>
      </c>
      <c r="W66" s="343">
        <f>+U66/O66-1</f>
        <v>-0.17797443461160267</v>
      </c>
      <c r="AA66" s="220">
        <v>134</v>
      </c>
      <c r="AB66" s="220">
        <v>169</v>
      </c>
      <c r="AC66" s="308">
        <f t="shared" ref="AC66:AC87" si="4">+AA66/AB66</f>
        <v>0.79289940828402372</v>
      </c>
      <c r="AD66" s="308"/>
      <c r="AE66" s="377">
        <v>133</v>
      </c>
      <c r="AF66" s="344">
        <v>229</v>
      </c>
      <c r="AG66" s="345">
        <f t="shared" ref="AG66:AG87" si="5">+AE66/AF66</f>
        <v>0.58078602620087338</v>
      </c>
      <c r="AH66" s="308"/>
      <c r="AI66" s="273">
        <v>151</v>
      </c>
      <c r="AJ66" s="273">
        <v>280</v>
      </c>
      <c r="AK66" s="237">
        <f>+AI66/AJ66</f>
        <v>0.53928571428571426</v>
      </c>
      <c r="AL66" s="308"/>
      <c r="AM66" s="378"/>
      <c r="AN66" s="346"/>
      <c r="AO66" s="317"/>
      <c r="AP66" s="308"/>
      <c r="AQ66" s="220">
        <f>+AA66+AE66+AI66+AM66</f>
        <v>418</v>
      </c>
      <c r="AR66" s="220">
        <f>+AB66+AF66+AJ66+AN66</f>
        <v>678</v>
      </c>
      <c r="AS66" s="235">
        <f>+AQ66/AR66</f>
        <v>0.61651917404129797</v>
      </c>
    </row>
    <row r="67" spans="1:45" ht="24.95" customHeight="1" thickBot="1" x14ac:dyDescent="0.3">
      <c r="A67" s="330"/>
      <c r="B67" s="347"/>
      <c r="C67" s="348"/>
      <c r="D67" s="348"/>
      <c r="E67" s="349"/>
      <c r="F67" s="350"/>
      <c r="G67" s="351"/>
      <c r="H67" s="352"/>
      <c r="I67" s="353"/>
      <c r="J67" s="353"/>
      <c r="K67" s="353"/>
      <c r="L67" s="353"/>
      <c r="M67" s="353"/>
      <c r="N67" s="333" t="s">
        <v>219</v>
      </c>
      <c r="O67" s="334"/>
      <c r="P67" s="356">
        <f>+AA66</f>
        <v>134</v>
      </c>
      <c r="Q67" s="379">
        <f>+AE66</f>
        <v>133</v>
      </c>
      <c r="R67" s="356">
        <f>+AI66</f>
        <v>151</v>
      </c>
      <c r="S67" s="356"/>
      <c r="T67" s="357"/>
      <c r="U67" s="358"/>
      <c r="V67" s="380"/>
      <c r="W67" s="360"/>
      <c r="AA67" s="220"/>
      <c r="AB67" s="220"/>
      <c r="AC67" s="308"/>
      <c r="AD67" s="308"/>
      <c r="AE67" s="377"/>
      <c r="AF67" s="344"/>
      <c r="AG67" s="345"/>
      <c r="AH67" s="308"/>
      <c r="AK67" s="312"/>
      <c r="AL67" s="308"/>
      <c r="AP67" s="308"/>
      <c r="AQ67" s="308"/>
      <c r="AR67" s="308"/>
      <c r="AS67" s="308"/>
    </row>
    <row r="68" spans="1:45" ht="24.95" customHeight="1" thickBot="1" x14ac:dyDescent="0.3">
      <c r="A68" s="330"/>
      <c r="B68" s="381"/>
      <c r="C68" s="361"/>
      <c r="D68" s="361"/>
      <c r="E68" s="362"/>
      <c r="F68" s="363"/>
      <c r="G68" s="364"/>
      <c r="H68" s="365"/>
      <c r="I68" s="366"/>
      <c r="J68" s="366"/>
      <c r="K68" s="366"/>
      <c r="L68" s="366"/>
      <c r="M68" s="366"/>
      <c r="N68" s="333" t="s">
        <v>220</v>
      </c>
      <c r="O68" s="334"/>
      <c r="P68" s="367">
        <f>+AC66</f>
        <v>0.79289940828402372</v>
      </c>
      <c r="Q68" s="367">
        <f>+AG66</f>
        <v>0.58078602620087338</v>
      </c>
      <c r="R68" s="368">
        <f>+AK66</f>
        <v>0.53928571428571426</v>
      </c>
      <c r="S68" s="368"/>
      <c r="T68" s="369"/>
      <c r="U68" s="370"/>
      <c r="V68" s="382"/>
      <c r="W68" s="372"/>
      <c r="AA68" s="220"/>
      <c r="AB68" s="220"/>
      <c r="AC68" s="308"/>
      <c r="AD68" s="308"/>
      <c r="AE68" s="377"/>
      <c r="AF68" s="344"/>
      <c r="AG68" s="345"/>
      <c r="AH68" s="308"/>
      <c r="AK68" s="312"/>
      <c r="AL68" s="308"/>
      <c r="AP68" s="308"/>
      <c r="AQ68" s="308"/>
      <c r="AR68" s="308"/>
      <c r="AS68" s="308"/>
    </row>
    <row r="69" spans="1:45" ht="24.95" customHeight="1" thickBot="1" x14ac:dyDescent="0.3">
      <c r="A69" s="330"/>
      <c r="B69" s="383" t="s">
        <v>282</v>
      </c>
      <c r="C69" s="332" t="s">
        <v>283</v>
      </c>
      <c r="D69" s="332" t="s">
        <v>284</v>
      </c>
      <c r="E69" s="333" t="s">
        <v>285</v>
      </c>
      <c r="F69" s="334"/>
      <c r="G69" s="335" t="s">
        <v>286</v>
      </c>
      <c r="H69" s="336"/>
      <c r="I69" s="337" t="s">
        <v>25</v>
      </c>
      <c r="J69" s="337" t="s">
        <v>8</v>
      </c>
      <c r="K69" s="337" t="s">
        <v>10</v>
      </c>
      <c r="L69" s="337" t="s">
        <v>12</v>
      </c>
      <c r="M69" s="337" t="s">
        <v>23</v>
      </c>
      <c r="N69" s="338">
        <v>2022</v>
      </c>
      <c r="O69" s="339">
        <v>0.7</v>
      </c>
      <c r="P69" s="339">
        <v>0.7</v>
      </c>
      <c r="Q69" s="339">
        <v>0.7</v>
      </c>
      <c r="R69" s="339">
        <v>0.7</v>
      </c>
      <c r="S69" s="339">
        <v>0.7</v>
      </c>
      <c r="T69" s="340">
        <f>SUM(P70:S70)</f>
        <v>1874</v>
      </c>
      <c r="U69" s="341">
        <f>+AS69</f>
        <v>0.66571936056838366</v>
      </c>
      <c r="V69" s="384" t="s">
        <v>35</v>
      </c>
      <c r="W69" s="343">
        <f>+U69/O69-1</f>
        <v>-4.8972342045166095E-2</v>
      </c>
      <c r="AA69" s="220">
        <v>635</v>
      </c>
      <c r="AB69" s="220">
        <v>987</v>
      </c>
      <c r="AC69" s="308">
        <f t="shared" si="4"/>
        <v>0.64336372847011147</v>
      </c>
      <c r="AD69" s="308"/>
      <c r="AE69" s="373">
        <v>651</v>
      </c>
      <c r="AF69" s="344">
        <v>923</v>
      </c>
      <c r="AG69" s="345">
        <f t="shared" si="5"/>
        <v>0.7053087757313109</v>
      </c>
      <c r="AH69" s="308"/>
      <c r="AI69" s="273">
        <v>588</v>
      </c>
      <c r="AJ69" s="273">
        <v>905</v>
      </c>
      <c r="AK69" s="237">
        <f>+AI69/AJ69</f>
        <v>0.64972375690607731</v>
      </c>
      <c r="AL69" s="308"/>
      <c r="AM69" s="385"/>
      <c r="AN69" s="346"/>
      <c r="AO69" s="317"/>
      <c r="AP69" s="308"/>
      <c r="AQ69" s="220">
        <f>+AA69+AE69+AI69+AM69</f>
        <v>1874</v>
      </c>
      <c r="AR69" s="220">
        <f>+AB69+AF69+AJ69+AN69</f>
        <v>2815</v>
      </c>
      <c r="AS69" s="235">
        <f>+AQ69/AR69</f>
        <v>0.66571936056838366</v>
      </c>
    </row>
    <row r="70" spans="1:45" ht="24.95" customHeight="1" thickBot="1" x14ac:dyDescent="0.3">
      <c r="A70" s="330"/>
      <c r="B70" s="386"/>
      <c r="C70" s="348"/>
      <c r="D70" s="348"/>
      <c r="E70" s="349"/>
      <c r="F70" s="350"/>
      <c r="G70" s="351"/>
      <c r="H70" s="352"/>
      <c r="I70" s="353"/>
      <c r="J70" s="353"/>
      <c r="K70" s="353"/>
      <c r="L70" s="353"/>
      <c r="M70" s="353"/>
      <c r="N70" s="333" t="s">
        <v>219</v>
      </c>
      <c r="O70" s="334"/>
      <c r="P70" s="356">
        <f>+AA69</f>
        <v>635</v>
      </c>
      <c r="Q70" s="355">
        <f>+AE69</f>
        <v>651</v>
      </c>
      <c r="R70" s="356">
        <f>+AI69</f>
        <v>588</v>
      </c>
      <c r="S70" s="356"/>
      <c r="T70" s="357"/>
      <c r="U70" s="358"/>
      <c r="V70" s="387"/>
      <c r="W70" s="360"/>
      <c r="AA70" s="220"/>
      <c r="AB70" s="220"/>
      <c r="AC70" s="308"/>
      <c r="AD70" s="308"/>
      <c r="AE70" s="373"/>
      <c r="AF70" s="344"/>
      <c r="AG70" s="345"/>
      <c r="AH70" s="308"/>
      <c r="AK70" s="312"/>
      <c r="AL70" s="308"/>
      <c r="AP70" s="308"/>
      <c r="AQ70" s="308"/>
      <c r="AR70" s="308"/>
      <c r="AS70" s="308"/>
    </row>
    <row r="71" spans="1:45" ht="24.95" customHeight="1" thickBot="1" x14ac:dyDescent="0.3">
      <c r="A71" s="330"/>
      <c r="B71" s="388"/>
      <c r="C71" s="361"/>
      <c r="D71" s="361"/>
      <c r="E71" s="362"/>
      <c r="F71" s="363"/>
      <c r="G71" s="364"/>
      <c r="H71" s="365"/>
      <c r="I71" s="366"/>
      <c r="J71" s="366"/>
      <c r="K71" s="366"/>
      <c r="L71" s="366"/>
      <c r="M71" s="366"/>
      <c r="N71" s="333" t="s">
        <v>220</v>
      </c>
      <c r="O71" s="334"/>
      <c r="P71" s="367">
        <f>+AC69</f>
        <v>0.64336372847011147</v>
      </c>
      <c r="Q71" s="367">
        <f>+AG69</f>
        <v>0.7053087757313109</v>
      </c>
      <c r="R71" s="368">
        <f>+AK69</f>
        <v>0.64972375690607731</v>
      </c>
      <c r="S71" s="368"/>
      <c r="T71" s="369"/>
      <c r="U71" s="370"/>
      <c r="V71" s="389"/>
      <c r="W71" s="372"/>
      <c r="AA71" s="220"/>
      <c r="AB71" s="220"/>
      <c r="AC71" s="308"/>
      <c r="AD71" s="308"/>
      <c r="AE71" s="373"/>
      <c r="AF71" s="344"/>
      <c r="AG71" s="345"/>
      <c r="AH71" s="308"/>
      <c r="AK71" s="312"/>
      <c r="AL71" s="308"/>
      <c r="AP71" s="308"/>
      <c r="AQ71" s="308"/>
      <c r="AR71" s="308"/>
      <c r="AS71" s="308"/>
    </row>
    <row r="72" spans="1:45" ht="24.95" customHeight="1" thickBot="1" x14ac:dyDescent="0.3">
      <c r="A72" s="330"/>
      <c r="B72" s="383" t="s">
        <v>287</v>
      </c>
      <c r="C72" s="332" t="s">
        <v>288</v>
      </c>
      <c r="D72" s="332" t="s">
        <v>289</v>
      </c>
      <c r="E72" s="333" t="s">
        <v>290</v>
      </c>
      <c r="F72" s="334"/>
      <c r="G72" s="335" t="s">
        <v>291</v>
      </c>
      <c r="H72" s="336"/>
      <c r="I72" s="337" t="s">
        <v>25</v>
      </c>
      <c r="J72" s="337" t="s">
        <v>8</v>
      </c>
      <c r="K72" s="337" t="s">
        <v>10</v>
      </c>
      <c r="L72" s="337" t="s">
        <v>12</v>
      </c>
      <c r="M72" s="337" t="s">
        <v>23</v>
      </c>
      <c r="N72" s="338">
        <v>2022</v>
      </c>
      <c r="O72" s="339">
        <v>29.5</v>
      </c>
      <c r="P72" s="339">
        <v>29.5</v>
      </c>
      <c r="Q72" s="339">
        <v>29.5</v>
      </c>
      <c r="R72" s="339">
        <v>29.5</v>
      </c>
      <c r="S72" s="339">
        <v>29.5</v>
      </c>
      <c r="T72" s="340">
        <f>SUM(P73:S73)</f>
        <v>56347</v>
      </c>
      <c r="U72" s="341">
        <f>+AS72</f>
        <v>30.06776947705443</v>
      </c>
      <c r="V72" s="384" t="s">
        <v>35</v>
      </c>
      <c r="W72" s="343">
        <f>+U72/O72-1</f>
        <v>1.9246422950997655E-2</v>
      </c>
      <c r="AA72" s="220">
        <v>19052</v>
      </c>
      <c r="AB72" s="220">
        <v>635</v>
      </c>
      <c r="AC72" s="308">
        <f t="shared" si="4"/>
        <v>30.003149606299214</v>
      </c>
      <c r="AD72" s="308"/>
      <c r="AE72" s="344">
        <v>20296</v>
      </c>
      <c r="AF72" s="373">
        <v>651</v>
      </c>
      <c r="AG72" s="345">
        <f t="shared" si="5"/>
        <v>31.176651305683563</v>
      </c>
      <c r="AH72" s="308"/>
      <c r="AI72" s="273">
        <v>16999</v>
      </c>
      <c r="AJ72" s="273">
        <v>588</v>
      </c>
      <c r="AK72" s="237">
        <f>+AI72/AJ72</f>
        <v>28.90986394557823</v>
      </c>
      <c r="AL72" s="308"/>
      <c r="AM72" s="346"/>
      <c r="AN72" s="271"/>
      <c r="AO72" s="317"/>
      <c r="AP72" s="308"/>
      <c r="AQ72" s="220">
        <f>+AA72+AE72+AI72+AM72</f>
        <v>56347</v>
      </c>
      <c r="AR72" s="220">
        <f>+AB72+AF72+AJ72+AN72</f>
        <v>1874</v>
      </c>
      <c r="AS72" s="235">
        <f>+AQ72/AR72</f>
        <v>30.06776947705443</v>
      </c>
    </row>
    <row r="73" spans="1:45" ht="24.95" customHeight="1" thickBot="1" x14ac:dyDescent="0.3">
      <c r="A73" s="330"/>
      <c r="B73" s="386"/>
      <c r="C73" s="348"/>
      <c r="D73" s="348"/>
      <c r="E73" s="349"/>
      <c r="F73" s="350"/>
      <c r="G73" s="351"/>
      <c r="H73" s="352"/>
      <c r="I73" s="353"/>
      <c r="J73" s="353"/>
      <c r="K73" s="353"/>
      <c r="L73" s="353"/>
      <c r="M73" s="353"/>
      <c r="N73" s="333" t="s">
        <v>219</v>
      </c>
      <c r="O73" s="334"/>
      <c r="P73" s="356">
        <f>+AA72</f>
        <v>19052</v>
      </c>
      <c r="Q73" s="355">
        <f>+AE72</f>
        <v>20296</v>
      </c>
      <c r="R73" s="356">
        <f>+AI72</f>
        <v>16999</v>
      </c>
      <c r="S73" s="356"/>
      <c r="T73" s="357"/>
      <c r="U73" s="358"/>
      <c r="V73" s="387"/>
      <c r="W73" s="360"/>
      <c r="AA73" s="220"/>
      <c r="AB73" s="220"/>
      <c r="AC73" s="308"/>
      <c r="AD73" s="308"/>
      <c r="AE73" s="344"/>
      <c r="AF73" s="373"/>
      <c r="AG73" s="345"/>
      <c r="AH73" s="308"/>
      <c r="AK73" s="312"/>
      <c r="AL73" s="308"/>
      <c r="AP73" s="308"/>
      <c r="AQ73" s="308"/>
      <c r="AR73" s="308"/>
      <c r="AS73" s="308"/>
    </row>
    <row r="74" spans="1:45" ht="24.95" customHeight="1" thickBot="1" x14ac:dyDescent="0.3">
      <c r="A74" s="330"/>
      <c r="B74" s="388"/>
      <c r="C74" s="361"/>
      <c r="D74" s="361"/>
      <c r="E74" s="362"/>
      <c r="F74" s="363"/>
      <c r="G74" s="364"/>
      <c r="H74" s="365"/>
      <c r="I74" s="366"/>
      <c r="J74" s="366"/>
      <c r="K74" s="366"/>
      <c r="L74" s="366"/>
      <c r="M74" s="366"/>
      <c r="N74" s="333" t="s">
        <v>220</v>
      </c>
      <c r="O74" s="334"/>
      <c r="P74" s="368">
        <f>+AC72</f>
        <v>30.003149606299214</v>
      </c>
      <c r="Q74" s="368">
        <f>+AG72</f>
        <v>31.176651305683563</v>
      </c>
      <c r="R74" s="368">
        <f>+AK72</f>
        <v>28.90986394557823</v>
      </c>
      <c r="S74" s="368"/>
      <c r="T74" s="369"/>
      <c r="U74" s="370"/>
      <c r="V74" s="389"/>
      <c r="W74" s="372"/>
      <c r="AA74" s="220"/>
      <c r="AB74" s="220"/>
      <c r="AC74" s="308"/>
      <c r="AD74" s="308"/>
      <c r="AE74" s="344"/>
      <c r="AF74" s="373"/>
      <c r="AG74" s="345"/>
      <c r="AH74" s="308"/>
      <c r="AK74" s="312"/>
      <c r="AL74" s="308"/>
      <c r="AP74" s="308"/>
      <c r="AQ74" s="308"/>
      <c r="AR74" s="308"/>
      <c r="AS74" s="308"/>
    </row>
    <row r="75" spans="1:45" ht="24.95" customHeight="1" thickBot="1" x14ac:dyDescent="0.3">
      <c r="A75" s="330"/>
      <c r="B75" s="383" t="s">
        <v>292</v>
      </c>
      <c r="C75" s="332" t="s">
        <v>293</v>
      </c>
      <c r="D75" s="332" t="s">
        <v>294</v>
      </c>
      <c r="E75" s="333" t="s">
        <v>295</v>
      </c>
      <c r="F75" s="334"/>
      <c r="G75" s="335" t="s">
        <v>296</v>
      </c>
      <c r="H75" s="336"/>
      <c r="I75" s="337" t="s">
        <v>25</v>
      </c>
      <c r="J75" s="337" t="s">
        <v>8</v>
      </c>
      <c r="K75" s="337" t="s">
        <v>10</v>
      </c>
      <c r="L75" s="337" t="s">
        <v>12</v>
      </c>
      <c r="M75" s="337" t="s">
        <v>23</v>
      </c>
      <c r="N75" s="338">
        <v>2022</v>
      </c>
      <c r="O75" s="339">
        <v>1.95</v>
      </c>
      <c r="P75" s="339">
        <v>1.95</v>
      </c>
      <c r="Q75" s="339">
        <v>1.95</v>
      </c>
      <c r="R75" s="339">
        <v>1.95</v>
      </c>
      <c r="S75" s="339">
        <v>1.95</v>
      </c>
      <c r="T75" s="340">
        <f>SUM(P76:S76)</f>
        <v>4144</v>
      </c>
      <c r="U75" s="341">
        <f>+AS75</f>
        <v>2.2113127001067236</v>
      </c>
      <c r="V75" s="376" t="s">
        <v>36</v>
      </c>
      <c r="W75" s="343">
        <f>+U75/O75-1</f>
        <v>0.13400651287524301</v>
      </c>
      <c r="AA75" s="220">
        <v>1431</v>
      </c>
      <c r="AB75" s="220">
        <v>635</v>
      </c>
      <c r="AC75" s="308">
        <f t="shared" si="4"/>
        <v>2.253543307086614</v>
      </c>
      <c r="AD75" s="308"/>
      <c r="AE75" s="344">
        <v>1558</v>
      </c>
      <c r="AF75" s="377">
        <v>651</v>
      </c>
      <c r="AG75" s="345">
        <f t="shared" si="5"/>
        <v>2.393241167434716</v>
      </c>
      <c r="AH75" s="308"/>
      <c r="AI75" s="273">
        <v>1155</v>
      </c>
      <c r="AJ75" s="273">
        <v>588</v>
      </c>
      <c r="AK75" s="237">
        <f>+AI75/AJ75</f>
        <v>1.9642857142857142</v>
      </c>
      <c r="AL75" s="308"/>
      <c r="AM75" s="346"/>
      <c r="AN75" s="271"/>
      <c r="AO75" s="317"/>
      <c r="AP75" s="308"/>
      <c r="AQ75" s="220">
        <f>+AA75+AE75+AI75+AM75</f>
        <v>4144</v>
      </c>
      <c r="AR75" s="220">
        <f>+AB75+AF75+AJ75+AN75</f>
        <v>1874</v>
      </c>
      <c r="AS75" s="235">
        <f>+AQ75/AR75</f>
        <v>2.2113127001067236</v>
      </c>
    </row>
    <row r="76" spans="1:45" ht="24.95" customHeight="1" thickBot="1" x14ac:dyDescent="0.3">
      <c r="A76" s="330"/>
      <c r="B76" s="386"/>
      <c r="C76" s="348"/>
      <c r="D76" s="348"/>
      <c r="E76" s="349"/>
      <c r="F76" s="350"/>
      <c r="G76" s="351"/>
      <c r="H76" s="352"/>
      <c r="I76" s="353"/>
      <c r="J76" s="353"/>
      <c r="K76" s="353"/>
      <c r="L76" s="353"/>
      <c r="M76" s="353"/>
      <c r="N76" s="333" t="s">
        <v>219</v>
      </c>
      <c r="O76" s="334"/>
      <c r="P76" s="356">
        <f>+AA75</f>
        <v>1431</v>
      </c>
      <c r="Q76" s="355">
        <f>+AE75</f>
        <v>1558</v>
      </c>
      <c r="R76" s="356">
        <f>+AI75</f>
        <v>1155</v>
      </c>
      <c r="S76" s="356"/>
      <c r="T76" s="357"/>
      <c r="U76" s="358"/>
      <c r="V76" s="380"/>
      <c r="W76" s="360"/>
      <c r="AA76" s="220"/>
      <c r="AB76" s="220"/>
      <c r="AC76" s="308"/>
      <c r="AD76" s="308"/>
      <c r="AE76" s="344"/>
      <c r="AF76" s="377"/>
      <c r="AG76" s="345"/>
      <c r="AH76" s="308"/>
      <c r="AK76" s="312"/>
      <c r="AL76" s="308"/>
      <c r="AP76" s="308"/>
      <c r="AQ76" s="308"/>
      <c r="AR76" s="308"/>
      <c r="AS76" s="308"/>
    </row>
    <row r="77" spans="1:45" ht="24.95" customHeight="1" thickBot="1" x14ac:dyDescent="0.3">
      <c r="A77" s="330"/>
      <c r="B77" s="388"/>
      <c r="C77" s="361"/>
      <c r="D77" s="361"/>
      <c r="E77" s="362"/>
      <c r="F77" s="363"/>
      <c r="G77" s="364"/>
      <c r="H77" s="365"/>
      <c r="I77" s="366"/>
      <c r="J77" s="366"/>
      <c r="K77" s="366"/>
      <c r="L77" s="366"/>
      <c r="M77" s="366"/>
      <c r="N77" s="333" t="s">
        <v>220</v>
      </c>
      <c r="O77" s="334"/>
      <c r="P77" s="367">
        <f>+AC75</f>
        <v>2.253543307086614</v>
      </c>
      <c r="Q77" s="367">
        <f>+AG75</f>
        <v>2.393241167434716</v>
      </c>
      <c r="R77" s="368">
        <f>+AK75</f>
        <v>1.9642857142857142</v>
      </c>
      <c r="S77" s="368"/>
      <c r="T77" s="369"/>
      <c r="U77" s="370"/>
      <c r="V77" s="382"/>
      <c r="W77" s="372"/>
      <c r="AA77" s="220"/>
      <c r="AB77" s="220"/>
      <c r="AC77" s="308"/>
      <c r="AD77" s="308"/>
      <c r="AE77" s="344"/>
      <c r="AF77" s="377"/>
      <c r="AG77" s="345"/>
      <c r="AH77" s="308"/>
      <c r="AK77" s="312"/>
      <c r="AL77" s="308"/>
      <c r="AP77" s="308"/>
      <c r="AQ77" s="308"/>
      <c r="AR77" s="308"/>
      <c r="AS77" s="308"/>
    </row>
    <row r="78" spans="1:45" ht="24.95" customHeight="1" thickBot="1" x14ac:dyDescent="0.3">
      <c r="A78" s="330"/>
      <c r="B78" s="383" t="s">
        <v>297</v>
      </c>
      <c r="C78" s="332" t="s">
        <v>298</v>
      </c>
      <c r="D78" s="332" t="s">
        <v>299</v>
      </c>
      <c r="E78" s="333" t="s">
        <v>300</v>
      </c>
      <c r="F78" s="334"/>
      <c r="G78" s="335" t="s">
        <v>301</v>
      </c>
      <c r="H78" s="336"/>
      <c r="I78" s="337" t="s">
        <v>25</v>
      </c>
      <c r="J78" s="337" t="s">
        <v>8</v>
      </c>
      <c r="K78" s="337" t="s">
        <v>10</v>
      </c>
      <c r="L78" s="337" t="s">
        <v>79</v>
      </c>
      <c r="M78" s="337" t="s">
        <v>23</v>
      </c>
      <c r="N78" s="338">
        <v>2022</v>
      </c>
      <c r="O78" s="339">
        <v>0.23</v>
      </c>
      <c r="P78" s="339">
        <v>0.23</v>
      </c>
      <c r="Q78" s="339">
        <v>0.23</v>
      </c>
      <c r="R78" s="339">
        <v>0.23</v>
      </c>
      <c r="S78" s="339">
        <v>0.23</v>
      </c>
      <c r="T78" s="340">
        <f>SUM(P79:S79)</f>
        <v>248</v>
      </c>
      <c r="U78" s="341">
        <f>+AS78</f>
        <v>0.45338208409506398</v>
      </c>
      <c r="V78" s="342" t="s">
        <v>37</v>
      </c>
      <c r="W78" s="343">
        <f>+U78/O78-1</f>
        <v>0.9712264525872345</v>
      </c>
      <c r="AA78" s="220">
        <v>94</v>
      </c>
      <c r="AB78" s="220">
        <v>134</v>
      </c>
      <c r="AC78" s="308">
        <f t="shared" si="4"/>
        <v>0.70149253731343286</v>
      </c>
      <c r="AD78" s="308"/>
      <c r="AE78" s="344">
        <v>69</v>
      </c>
      <c r="AF78" s="377">
        <v>133</v>
      </c>
      <c r="AG78" s="345">
        <f t="shared" si="5"/>
        <v>0.51879699248120303</v>
      </c>
      <c r="AH78" s="308"/>
      <c r="AI78" s="273">
        <v>85</v>
      </c>
      <c r="AJ78" s="273">
        <v>280</v>
      </c>
      <c r="AK78" s="237">
        <f>+AI78/AJ78</f>
        <v>0.30357142857142855</v>
      </c>
      <c r="AL78" s="308"/>
      <c r="AM78" s="346"/>
      <c r="AN78" s="271"/>
      <c r="AO78" s="317"/>
      <c r="AP78" s="308"/>
      <c r="AQ78" s="220">
        <f>+AA78+AE78+AI78+AM78</f>
        <v>248</v>
      </c>
      <c r="AR78" s="220">
        <f>+AB78+AF78+AJ78+AN78</f>
        <v>547</v>
      </c>
      <c r="AS78" s="235">
        <f>+AQ78/AR78</f>
        <v>0.45338208409506398</v>
      </c>
    </row>
    <row r="79" spans="1:45" ht="24.95" customHeight="1" thickBot="1" x14ac:dyDescent="0.3">
      <c r="A79" s="330"/>
      <c r="B79" s="386"/>
      <c r="C79" s="348"/>
      <c r="D79" s="348"/>
      <c r="E79" s="349"/>
      <c r="F79" s="350"/>
      <c r="G79" s="351"/>
      <c r="H79" s="352"/>
      <c r="I79" s="353"/>
      <c r="J79" s="353"/>
      <c r="K79" s="353"/>
      <c r="L79" s="353"/>
      <c r="M79" s="353"/>
      <c r="N79" s="333" t="s">
        <v>219</v>
      </c>
      <c r="O79" s="334"/>
      <c r="P79" s="356">
        <f>+AA78</f>
        <v>94</v>
      </c>
      <c r="Q79" s="355">
        <f>+AE78</f>
        <v>69</v>
      </c>
      <c r="R79" s="356">
        <f>+AI78</f>
        <v>85</v>
      </c>
      <c r="S79" s="356"/>
      <c r="T79" s="357"/>
      <c r="U79" s="358"/>
      <c r="V79" s="359"/>
      <c r="W79" s="360"/>
      <c r="AA79" s="220"/>
      <c r="AB79" s="220"/>
      <c r="AC79" s="308"/>
      <c r="AD79" s="308"/>
      <c r="AE79" s="344"/>
      <c r="AF79" s="377"/>
      <c r="AG79" s="345"/>
      <c r="AH79" s="308"/>
      <c r="AK79" s="312"/>
      <c r="AL79" s="308"/>
      <c r="AP79" s="308"/>
      <c r="AQ79" s="308"/>
      <c r="AR79" s="308"/>
      <c r="AS79" s="308"/>
    </row>
    <row r="80" spans="1:45" ht="24.95" customHeight="1" thickBot="1" x14ac:dyDescent="0.3">
      <c r="A80" s="330"/>
      <c r="B80" s="386"/>
      <c r="C80" s="348"/>
      <c r="D80" s="361"/>
      <c r="E80" s="362"/>
      <c r="F80" s="363"/>
      <c r="G80" s="364"/>
      <c r="H80" s="365"/>
      <c r="I80" s="366"/>
      <c r="J80" s="366"/>
      <c r="K80" s="366"/>
      <c r="L80" s="366"/>
      <c r="M80" s="366"/>
      <c r="N80" s="333" t="s">
        <v>220</v>
      </c>
      <c r="O80" s="334"/>
      <c r="P80" s="367">
        <f>+AC78</f>
        <v>0.70149253731343286</v>
      </c>
      <c r="Q80" s="367">
        <f>+AG78</f>
        <v>0.51879699248120303</v>
      </c>
      <c r="R80" s="368">
        <f>+AK78</f>
        <v>0.30357142857142855</v>
      </c>
      <c r="S80" s="368"/>
      <c r="T80" s="369"/>
      <c r="U80" s="370"/>
      <c r="V80" s="371"/>
      <c r="W80" s="372"/>
      <c r="AA80" s="220"/>
      <c r="AB80" s="220"/>
      <c r="AC80" s="308"/>
      <c r="AD80" s="308"/>
      <c r="AE80" s="344"/>
      <c r="AF80" s="377"/>
      <c r="AG80" s="345"/>
      <c r="AH80" s="308"/>
      <c r="AK80" s="312"/>
      <c r="AL80" s="308"/>
      <c r="AP80" s="308"/>
      <c r="AQ80" s="308"/>
      <c r="AR80" s="308"/>
      <c r="AS80" s="308"/>
    </row>
    <row r="81" spans="1:49" ht="24.95" customHeight="1" thickBot="1" x14ac:dyDescent="0.3">
      <c r="A81" s="330"/>
      <c r="B81" s="386"/>
      <c r="C81" s="348"/>
      <c r="D81" s="332" t="s">
        <v>302</v>
      </c>
      <c r="E81" s="333" t="s">
        <v>303</v>
      </c>
      <c r="F81" s="334"/>
      <c r="G81" s="335" t="s">
        <v>304</v>
      </c>
      <c r="H81" s="336"/>
      <c r="I81" s="337" t="s">
        <v>25</v>
      </c>
      <c r="J81" s="337" t="s">
        <v>8</v>
      </c>
      <c r="K81" s="337" t="s">
        <v>10</v>
      </c>
      <c r="L81" s="337" t="s">
        <v>79</v>
      </c>
      <c r="M81" s="337" t="s">
        <v>23</v>
      </c>
      <c r="N81" s="338">
        <v>2022</v>
      </c>
      <c r="O81" s="339">
        <v>0.11</v>
      </c>
      <c r="P81" s="339">
        <v>0.11</v>
      </c>
      <c r="Q81" s="339">
        <v>0.11</v>
      </c>
      <c r="R81" s="339">
        <v>0.11</v>
      </c>
      <c r="S81" s="339">
        <v>0.11</v>
      </c>
      <c r="T81" s="340">
        <f>SUM(P82:S82)</f>
        <v>109</v>
      </c>
      <c r="U81" s="341">
        <f>+AS81</f>
        <v>0.19926873857404023</v>
      </c>
      <c r="V81" s="342" t="s">
        <v>37</v>
      </c>
      <c r="W81" s="343">
        <f>+U81/O81-1</f>
        <v>0.8115339870367293</v>
      </c>
      <c r="AA81" s="220">
        <v>25</v>
      </c>
      <c r="AB81" s="220">
        <v>134</v>
      </c>
      <c r="AC81" s="308">
        <f t="shared" si="4"/>
        <v>0.18656716417910449</v>
      </c>
      <c r="AD81" s="308"/>
      <c r="AE81" s="344">
        <v>37</v>
      </c>
      <c r="AF81" s="377">
        <v>133</v>
      </c>
      <c r="AG81" s="345">
        <f t="shared" si="5"/>
        <v>0.2781954887218045</v>
      </c>
      <c r="AH81" s="308"/>
      <c r="AI81" s="273">
        <v>47</v>
      </c>
      <c r="AJ81" s="273">
        <v>280</v>
      </c>
      <c r="AK81" s="237">
        <f>+AI81/AJ81</f>
        <v>0.16785714285714284</v>
      </c>
      <c r="AL81" s="308"/>
      <c r="AM81" s="346"/>
      <c r="AN81" s="271"/>
      <c r="AO81" s="317"/>
      <c r="AP81" s="308"/>
      <c r="AQ81" s="220">
        <f>+AA81+AE81+AI81+AM81</f>
        <v>109</v>
      </c>
      <c r="AR81" s="220">
        <f>+AB81+AF81+AJ81+AN81</f>
        <v>547</v>
      </c>
      <c r="AS81" s="235">
        <f>+AQ81/AR81</f>
        <v>0.19926873857404023</v>
      </c>
    </row>
    <row r="82" spans="1:49" ht="24.95" customHeight="1" thickBot="1" x14ac:dyDescent="0.3">
      <c r="A82" s="330"/>
      <c r="B82" s="386"/>
      <c r="C82" s="348"/>
      <c r="D82" s="348"/>
      <c r="E82" s="349"/>
      <c r="F82" s="350"/>
      <c r="G82" s="351"/>
      <c r="H82" s="352"/>
      <c r="I82" s="353"/>
      <c r="J82" s="353"/>
      <c r="K82" s="353"/>
      <c r="L82" s="353"/>
      <c r="M82" s="353"/>
      <c r="N82" s="333" t="s">
        <v>219</v>
      </c>
      <c r="O82" s="334"/>
      <c r="P82" s="356">
        <f>+AA81</f>
        <v>25</v>
      </c>
      <c r="Q82" s="355">
        <f>+AE81</f>
        <v>37</v>
      </c>
      <c r="R82" s="356">
        <f>+AI81</f>
        <v>47</v>
      </c>
      <c r="S82" s="356"/>
      <c r="T82" s="357"/>
      <c r="U82" s="358"/>
      <c r="V82" s="359"/>
      <c r="W82" s="360"/>
      <c r="AA82" s="220"/>
      <c r="AB82" s="220"/>
      <c r="AC82" s="308"/>
      <c r="AD82" s="308"/>
      <c r="AE82" s="344"/>
      <c r="AF82" s="377"/>
      <c r="AG82" s="345"/>
      <c r="AH82" s="308"/>
      <c r="AK82" s="312"/>
      <c r="AL82" s="308"/>
      <c r="AP82" s="308"/>
      <c r="AQ82" s="308"/>
      <c r="AR82" s="308"/>
      <c r="AS82" s="308"/>
    </row>
    <row r="83" spans="1:49" ht="24.95" customHeight="1" thickBot="1" x14ac:dyDescent="0.3">
      <c r="A83" s="330"/>
      <c r="B83" s="386"/>
      <c r="C83" s="348"/>
      <c r="D83" s="361"/>
      <c r="E83" s="362"/>
      <c r="F83" s="363"/>
      <c r="G83" s="364"/>
      <c r="H83" s="365"/>
      <c r="I83" s="366"/>
      <c r="J83" s="366"/>
      <c r="K83" s="366"/>
      <c r="L83" s="366"/>
      <c r="M83" s="366"/>
      <c r="N83" s="333" t="s">
        <v>220</v>
      </c>
      <c r="O83" s="334"/>
      <c r="P83" s="367">
        <f>+AC81</f>
        <v>0.18656716417910449</v>
      </c>
      <c r="Q83" s="367">
        <f>+AG81</f>
        <v>0.2781954887218045</v>
      </c>
      <c r="R83" s="368">
        <f>+AK81</f>
        <v>0.16785714285714284</v>
      </c>
      <c r="S83" s="368"/>
      <c r="T83" s="369"/>
      <c r="U83" s="370"/>
      <c r="V83" s="371"/>
      <c r="W83" s="372"/>
      <c r="AA83" s="220"/>
      <c r="AB83" s="220"/>
      <c r="AC83" s="308"/>
      <c r="AD83" s="308"/>
      <c r="AE83" s="344"/>
      <c r="AF83" s="377"/>
      <c r="AG83" s="345"/>
      <c r="AH83" s="308"/>
      <c r="AK83" s="312"/>
      <c r="AL83" s="308"/>
      <c r="AP83" s="308"/>
      <c r="AQ83" s="308"/>
      <c r="AR83" s="308"/>
      <c r="AS83" s="308"/>
    </row>
    <row r="84" spans="1:49" ht="24.95" customHeight="1" thickBot="1" x14ac:dyDescent="0.3">
      <c r="A84" s="330"/>
      <c r="B84" s="386"/>
      <c r="C84" s="348"/>
      <c r="D84" s="332" t="s">
        <v>305</v>
      </c>
      <c r="E84" s="333" t="s">
        <v>306</v>
      </c>
      <c r="F84" s="334"/>
      <c r="G84" s="335" t="s">
        <v>307</v>
      </c>
      <c r="H84" s="336"/>
      <c r="I84" s="337" t="s">
        <v>25</v>
      </c>
      <c r="J84" s="337" t="s">
        <v>8</v>
      </c>
      <c r="K84" s="337" t="s">
        <v>10</v>
      </c>
      <c r="L84" s="337" t="s">
        <v>12</v>
      </c>
      <c r="M84" s="337" t="s">
        <v>23</v>
      </c>
      <c r="N84" s="338">
        <v>2022</v>
      </c>
      <c r="O84" s="339">
        <v>0.09</v>
      </c>
      <c r="P84" s="339">
        <v>0.09</v>
      </c>
      <c r="Q84" s="339">
        <v>0.09</v>
      </c>
      <c r="R84" s="339">
        <v>0.09</v>
      </c>
      <c r="S84" s="339">
        <v>0.09</v>
      </c>
      <c r="T84" s="340">
        <f>SUM(P85:S85)</f>
        <v>61</v>
      </c>
      <c r="U84" s="341">
        <f>+AS84</f>
        <v>0.11151736745886655</v>
      </c>
      <c r="V84" s="342" t="s">
        <v>37</v>
      </c>
      <c r="W84" s="343">
        <f>+U84/O84-1</f>
        <v>0.23908186065407278</v>
      </c>
      <c r="AA84" s="220">
        <v>15</v>
      </c>
      <c r="AB84" s="220">
        <v>134</v>
      </c>
      <c r="AC84" s="308">
        <f t="shared" si="4"/>
        <v>0.11194029850746269</v>
      </c>
      <c r="AD84" s="308"/>
      <c r="AE84" s="344">
        <v>27</v>
      </c>
      <c r="AF84" s="377">
        <v>133</v>
      </c>
      <c r="AG84" s="345">
        <f t="shared" si="5"/>
        <v>0.20300751879699247</v>
      </c>
      <c r="AH84" s="308"/>
      <c r="AI84" s="273">
        <v>19</v>
      </c>
      <c r="AJ84" s="273">
        <v>280</v>
      </c>
      <c r="AK84" s="237">
        <f>+AI84/AJ84</f>
        <v>6.7857142857142852E-2</v>
      </c>
      <c r="AL84" s="308"/>
      <c r="AM84" s="390"/>
      <c r="AN84" s="391"/>
      <c r="AO84" s="392"/>
      <c r="AP84" s="308"/>
      <c r="AQ84" s="220">
        <f>+AA84+AE84+AI84+AM84</f>
        <v>61</v>
      </c>
      <c r="AR84" s="220">
        <f>+AB84+AF84+AJ84+AN84</f>
        <v>547</v>
      </c>
      <c r="AS84" s="235">
        <f>+AQ84/AR84</f>
        <v>0.11151736745886655</v>
      </c>
    </row>
    <row r="85" spans="1:49" ht="24.95" customHeight="1" thickBot="1" x14ac:dyDescent="0.3">
      <c r="A85" s="393"/>
      <c r="B85" s="386"/>
      <c r="C85" s="348"/>
      <c r="D85" s="348"/>
      <c r="E85" s="349"/>
      <c r="F85" s="350"/>
      <c r="G85" s="351"/>
      <c r="H85" s="352"/>
      <c r="I85" s="353"/>
      <c r="J85" s="353"/>
      <c r="K85" s="353"/>
      <c r="L85" s="353"/>
      <c r="M85" s="353"/>
      <c r="N85" s="333" t="s">
        <v>219</v>
      </c>
      <c r="O85" s="334"/>
      <c r="P85" s="356">
        <f>+AA84</f>
        <v>15</v>
      </c>
      <c r="Q85" s="355">
        <f>+AE84</f>
        <v>27</v>
      </c>
      <c r="R85" s="356">
        <f>+AI84</f>
        <v>19</v>
      </c>
      <c r="S85" s="356"/>
      <c r="T85" s="357"/>
      <c r="U85" s="358"/>
      <c r="V85" s="359"/>
      <c r="W85" s="360"/>
      <c r="AA85" s="220"/>
      <c r="AB85" s="220"/>
      <c r="AC85" s="308"/>
      <c r="AD85" s="308"/>
      <c r="AE85" s="344"/>
      <c r="AF85" s="377"/>
      <c r="AG85" s="345"/>
      <c r="AH85" s="308"/>
      <c r="AK85" s="312"/>
      <c r="AL85" s="308"/>
      <c r="AP85" s="308"/>
      <c r="AQ85" s="308"/>
      <c r="AR85" s="308"/>
      <c r="AS85" s="308"/>
    </row>
    <row r="86" spans="1:49" ht="24.95" customHeight="1" thickBot="1" x14ac:dyDescent="0.3">
      <c r="A86" s="393"/>
      <c r="B86" s="388"/>
      <c r="C86" s="361"/>
      <c r="D86" s="361"/>
      <c r="E86" s="362"/>
      <c r="F86" s="363"/>
      <c r="G86" s="364"/>
      <c r="H86" s="365"/>
      <c r="I86" s="366"/>
      <c r="J86" s="366"/>
      <c r="K86" s="366"/>
      <c r="L86" s="366"/>
      <c r="M86" s="366"/>
      <c r="N86" s="333" t="s">
        <v>220</v>
      </c>
      <c r="O86" s="334"/>
      <c r="P86" s="367">
        <f>+AC84</f>
        <v>0.11194029850746269</v>
      </c>
      <c r="Q86" s="367">
        <f>+AG84</f>
        <v>0.20300751879699247</v>
      </c>
      <c r="R86" s="368">
        <f>+AK84</f>
        <v>6.7857142857142852E-2</v>
      </c>
      <c r="S86" s="368"/>
      <c r="T86" s="369"/>
      <c r="U86" s="370"/>
      <c r="V86" s="371"/>
      <c r="W86" s="372"/>
      <c r="AA86" s="220"/>
      <c r="AB86" s="220"/>
      <c r="AC86" s="308"/>
      <c r="AD86" s="308"/>
      <c r="AE86" s="344"/>
      <c r="AF86" s="377"/>
      <c r="AG86" s="345"/>
      <c r="AH86" s="308"/>
      <c r="AK86" s="312"/>
      <c r="AL86" s="308"/>
      <c r="AP86" s="308"/>
      <c r="AQ86" s="308"/>
      <c r="AR86" s="308"/>
      <c r="AS86" s="308"/>
    </row>
    <row r="87" spans="1:49" ht="24.95" customHeight="1" thickBot="1" x14ac:dyDescent="0.3">
      <c r="A87" s="394" t="s">
        <v>308</v>
      </c>
      <c r="B87" s="395" t="s">
        <v>309</v>
      </c>
      <c r="C87" s="396" t="s">
        <v>310</v>
      </c>
      <c r="D87" s="396" t="s">
        <v>311</v>
      </c>
      <c r="E87" s="397" t="s">
        <v>312</v>
      </c>
      <c r="F87" s="398"/>
      <c r="G87" s="399" t="s">
        <v>313</v>
      </c>
      <c r="H87" s="400"/>
      <c r="I87" s="396" t="s">
        <v>25</v>
      </c>
      <c r="J87" s="396" t="s">
        <v>8</v>
      </c>
      <c r="K87" s="396" t="s">
        <v>10</v>
      </c>
      <c r="L87" s="396" t="s">
        <v>12</v>
      </c>
      <c r="M87" s="396" t="s">
        <v>23</v>
      </c>
      <c r="N87" s="401">
        <v>2022</v>
      </c>
      <c r="O87" s="402">
        <v>0.3</v>
      </c>
      <c r="P87" s="402">
        <v>0.3</v>
      </c>
      <c r="Q87" s="402">
        <v>0.3</v>
      </c>
      <c r="R87" s="402">
        <v>0.3</v>
      </c>
      <c r="S87" s="402">
        <v>0.3</v>
      </c>
      <c r="T87" s="403">
        <f>SUM(P88:S88)</f>
        <v>3725</v>
      </c>
      <c r="U87" s="404">
        <f>+AS87</f>
        <v>0.2929610696028313</v>
      </c>
      <c r="V87" s="405" t="s">
        <v>35</v>
      </c>
      <c r="W87" s="406">
        <f>+U87/O87-1</f>
        <v>-2.3463101323895619E-2</v>
      </c>
      <c r="AA87" s="220">
        <v>1280</v>
      </c>
      <c r="AB87" s="220">
        <v>4827</v>
      </c>
      <c r="AC87" s="308">
        <f t="shared" si="4"/>
        <v>0.26517505697120364</v>
      </c>
      <c r="AD87" s="308"/>
      <c r="AE87" s="407">
        <v>1336</v>
      </c>
      <c r="AF87" s="407">
        <v>4254</v>
      </c>
      <c r="AG87" s="345">
        <f t="shared" si="5"/>
        <v>0.31405735778091209</v>
      </c>
      <c r="AH87" s="308"/>
      <c r="AI87" s="273">
        <v>1109</v>
      </c>
      <c r="AJ87" s="273">
        <v>3634</v>
      </c>
      <c r="AK87" s="237">
        <f>+AI87/AJ87-1</f>
        <v>-0.6948266373142542</v>
      </c>
      <c r="AL87" s="308"/>
      <c r="AM87" s="346"/>
      <c r="AN87" s="346"/>
      <c r="AO87" s="317"/>
      <c r="AP87" s="308"/>
      <c r="AQ87" s="220">
        <f>+AA87+AE87+AI87+AM87</f>
        <v>3725</v>
      </c>
      <c r="AR87" s="220">
        <f>+AB87+AF87+AJ87+AN87</f>
        <v>12715</v>
      </c>
      <c r="AS87" s="235">
        <f>+AQ87/AR87</f>
        <v>0.2929610696028313</v>
      </c>
    </row>
    <row r="88" spans="1:49" ht="24.95" customHeight="1" thickBot="1" x14ac:dyDescent="0.3">
      <c r="A88" s="394"/>
      <c r="B88" s="408"/>
      <c r="C88" s="409"/>
      <c r="D88" s="409"/>
      <c r="E88" s="410"/>
      <c r="F88" s="411"/>
      <c r="G88" s="412"/>
      <c r="H88" s="413"/>
      <c r="I88" s="409"/>
      <c r="J88" s="409"/>
      <c r="K88" s="409"/>
      <c r="L88" s="409"/>
      <c r="M88" s="409"/>
      <c r="N88" s="397" t="s">
        <v>219</v>
      </c>
      <c r="O88" s="398"/>
      <c r="P88" s="414">
        <f>+AA87</f>
        <v>1280</v>
      </c>
      <c r="Q88" s="414">
        <f>+AE87</f>
        <v>1336</v>
      </c>
      <c r="R88" s="414">
        <f>+AI87</f>
        <v>1109</v>
      </c>
      <c r="S88" s="414"/>
      <c r="T88" s="415"/>
      <c r="U88" s="416"/>
      <c r="V88" s="417"/>
      <c r="W88" s="418"/>
      <c r="AA88" s="220"/>
      <c r="AB88" s="220"/>
      <c r="AC88" s="308"/>
      <c r="AD88" s="308"/>
      <c r="AE88" s="407"/>
      <c r="AF88" s="407"/>
      <c r="AG88" s="345"/>
      <c r="AH88" s="308"/>
      <c r="AK88" s="312"/>
      <c r="AL88" s="308"/>
      <c r="AP88" s="308"/>
      <c r="AQ88" s="308"/>
      <c r="AR88" s="308"/>
      <c r="AS88" s="308"/>
    </row>
    <row r="89" spans="1:49" ht="24.95" customHeight="1" thickBot="1" x14ac:dyDescent="0.3">
      <c r="A89" s="394"/>
      <c r="B89" s="408"/>
      <c r="C89" s="409"/>
      <c r="D89" s="419"/>
      <c r="E89" s="420"/>
      <c r="F89" s="421"/>
      <c r="G89" s="422"/>
      <c r="H89" s="423"/>
      <c r="I89" s="419"/>
      <c r="J89" s="419"/>
      <c r="K89" s="419"/>
      <c r="L89" s="419"/>
      <c r="M89" s="419"/>
      <c r="N89" s="397" t="s">
        <v>220</v>
      </c>
      <c r="O89" s="398"/>
      <c r="P89" s="424">
        <f>+AC87</f>
        <v>0.26517505697120364</v>
      </c>
      <c r="Q89" s="424">
        <f>+AG87</f>
        <v>0.31405735778091209</v>
      </c>
      <c r="R89" s="402">
        <f>+AK87</f>
        <v>-0.6948266373142542</v>
      </c>
      <c r="S89" s="402"/>
      <c r="T89" s="425"/>
      <c r="U89" s="426"/>
      <c r="V89" s="427"/>
      <c r="W89" s="428"/>
      <c r="AA89" s="220"/>
      <c r="AB89" s="220"/>
      <c r="AC89" s="308"/>
      <c r="AD89" s="308"/>
      <c r="AE89" s="407"/>
      <c r="AF89" s="407"/>
      <c r="AG89" s="345"/>
      <c r="AH89" s="308"/>
      <c r="AK89" s="312"/>
      <c r="AL89" s="308"/>
      <c r="AP89" s="308"/>
      <c r="AQ89" s="308"/>
      <c r="AR89" s="308"/>
      <c r="AS89" s="308"/>
    </row>
    <row r="90" spans="1:49" ht="30" customHeight="1" thickBot="1" x14ac:dyDescent="0.3">
      <c r="A90" s="394"/>
      <c r="B90" s="408"/>
      <c r="C90" s="409"/>
      <c r="D90" s="396" t="s">
        <v>314</v>
      </c>
      <c r="E90" s="397" t="s">
        <v>315</v>
      </c>
      <c r="F90" s="398"/>
      <c r="G90" s="399" t="s">
        <v>316</v>
      </c>
      <c r="H90" s="400"/>
      <c r="I90" s="396" t="s">
        <v>25</v>
      </c>
      <c r="J90" s="396" t="s">
        <v>8</v>
      </c>
      <c r="K90" s="396" t="s">
        <v>10</v>
      </c>
      <c r="L90" s="396" t="s">
        <v>12</v>
      </c>
      <c r="M90" s="396" t="s">
        <v>19</v>
      </c>
      <c r="N90" s="401">
        <v>2022</v>
      </c>
      <c r="O90" s="429">
        <v>0.04</v>
      </c>
      <c r="P90" s="429">
        <v>0.04</v>
      </c>
      <c r="Q90" s="429">
        <v>0.04</v>
      </c>
      <c r="R90" s="429">
        <v>0.04</v>
      </c>
      <c r="S90" s="429">
        <v>0.04</v>
      </c>
      <c r="T90" s="403">
        <f>SUM(P91:S91)</f>
        <v>3725</v>
      </c>
      <c r="U90" s="404">
        <f>+AS90</f>
        <v>8.1277213352685118E-2</v>
      </c>
      <c r="V90" s="430" t="s">
        <v>37</v>
      </c>
      <c r="W90" s="406">
        <f t="shared" ref="W90" si="6">+U90/O90-1</f>
        <v>1.0319303338171277</v>
      </c>
      <c r="AA90" s="220">
        <v>1280</v>
      </c>
      <c r="AB90" s="220">
        <v>1000</v>
      </c>
      <c r="AC90" s="308">
        <f>((+AA90/AB90)-1)</f>
        <v>0.28000000000000003</v>
      </c>
      <c r="AD90" s="308"/>
      <c r="AE90" s="431">
        <v>1336</v>
      </c>
      <c r="AF90" s="432">
        <v>1289</v>
      </c>
      <c r="AG90" s="345">
        <f>((+AE90/AF90)-1)</f>
        <v>3.6462373933281667E-2</v>
      </c>
      <c r="AH90" s="308"/>
      <c r="AI90" s="273">
        <v>1109</v>
      </c>
      <c r="AJ90" s="273">
        <v>1156</v>
      </c>
      <c r="AK90" s="237">
        <f>+AI90/AJ90-1</f>
        <v>-4.0657439446366794E-2</v>
      </c>
      <c r="AL90" s="308"/>
      <c r="AM90" s="271"/>
      <c r="AN90" s="433"/>
      <c r="AO90" s="317"/>
      <c r="AP90" s="308"/>
      <c r="AQ90" s="220">
        <f>+AA90+AE90+AI90+AM90</f>
        <v>3725</v>
      </c>
      <c r="AR90" s="220">
        <f>+AB90+AF90+AJ90+AN90</f>
        <v>3445</v>
      </c>
      <c r="AS90" s="434">
        <f>((+AQ90/AR90)-1)</f>
        <v>8.1277213352685118E-2</v>
      </c>
      <c r="AU90">
        <f>1000/691-1</f>
        <v>0.44717800289435594</v>
      </c>
      <c r="AV90">
        <f>1289/1492-1</f>
        <v>-0.136058981233244</v>
      </c>
      <c r="AW90">
        <f>+AQ90/AR90-1</f>
        <v>8.1277213352685118E-2</v>
      </c>
    </row>
    <row r="91" spans="1:49" ht="30" customHeight="1" thickBot="1" x14ac:dyDescent="0.3">
      <c r="A91" s="394"/>
      <c r="B91" s="408"/>
      <c r="C91" s="409"/>
      <c r="D91" s="409"/>
      <c r="E91" s="410"/>
      <c r="F91" s="411"/>
      <c r="G91" s="412"/>
      <c r="H91" s="413"/>
      <c r="I91" s="409"/>
      <c r="J91" s="409"/>
      <c r="K91" s="409"/>
      <c r="L91" s="409"/>
      <c r="M91" s="409"/>
      <c r="N91" s="397" t="s">
        <v>219</v>
      </c>
      <c r="O91" s="398"/>
      <c r="P91" s="414">
        <f>+AA90</f>
        <v>1280</v>
      </c>
      <c r="Q91" s="414">
        <f>+AE90</f>
        <v>1336</v>
      </c>
      <c r="R91" s="414">
        <f>+AI90</f>
        <v>1109</v>
      </c>
      <c r="S91" s="414"/>
      <c r="T91" s="415"/>
      <c r="U91" s="416"/>
      <c r="V91" s="435"/>
      <c r="W91" s="418"/>
      <c r="AA91" s="220"/>
      <c r="AB91" s="220"/>
      <c r="AC91" s="308"/>
      <c r="AD91" s="308"/>
      <c r="AE91" s="431"/>
      <c r="AF91" s="432"/>
      <c r="AG91" s="345"/>
      <c r="AH91" s="308"/>
      <c r="AK91" s="312"/>
      <c r="AL91" s="308"/>
      <c r="AP91" s="308"/>
      <c r="AQ91" s="308"/>
      <c r="AR91" s="308"/>
      <c r="AS91" s="308"/>
    </row>
    <row r="92" spans="1:49" ht="30" customHeight="1" thickBot="1" x14ac:dyDescent="0.3">
      <c r="A92" s="394"/>
      <c r="B92" s="408"/>
      <c r="C92" s="409"/>
      <c r="D92" s="419"/>
      <c r="E92" s="420"/>
      <c r="F92" s="421"/>
      <c r="G92" s="422"/>
      <c r="H92" s="423"/>
      <c r="I92" s="419"/>
      <c r="J92" s="419"/>
      <c r="K92" s="419"/>
      <c r="L92" s="419"/>
      <c r="M92" s="419"/>
      <c r="N92" s="397" t="s">
        <v>220</v>
      </c>
      <c r="O92" s="398"/>
      <c r="P92" s="424">
        <f>+AC90</f>
        <v>0.28000000000000003</v>
      </c>
      <c r="Q92" s="424">
        <f>+AG90</f>
        <v>3.6462373933281667E-2</v>
      </c>
      <c r="R92" s="402">
        <f>+AK90</f>
        <v>-4.0657439446366794E-2</v>
      </c>
      <c r="S92" s="402"/>
      <c r="T92" s="425"/>
      <c r="U92" s="426"/>
      <c r="V92" s="436"/>
      <c r="W92" s="428"/>
      <c r="AA92" s="220"/>
      <c r="AB92" s="220"/>
      <c r="AC92" s="308"/>
      <c r="AD92" s="308"/>
      <c r="AE92" s="431"/>
      <c r="AF92" s="432"/>
      <c r="AG92" s="345"/>
      <c r="AH92" s="308"/>
      <c r="AK92" s="312"/>
      <c r="AL92" s="308"/>
      <c r="AP92" s="308"/>
      <c r="AQ92" s="308"/>
      <c r="AR92" s="308"/>
      <c r="AS92" s="308"/>
    </row>
    <row r="93" spans="1:49" ht="24.95" customHeight="1" thickBot="1" x14ac:dyDescent="0.3">
      <c r="A93" s="394"/>
      <c r="B93" s="408"/>
      <c r="C93" s="409"/>
      <c r="D93" s="396" t="s">
        <v>317</v>
      </c>
      <c r="E93" s="397" t="s">
        <v>318</v>
      </c>
      <c r="F93" s="398"/>
      <c r="G93" s="399" t="s">
        <v>319</v>
      </c>
      <c r="H93" s="400"/>
      <c r="I93" s="396" t="s">
        <v>25</v>
      </c>
      <c r="J93" s="396" t="s">
        <v>8</v>
      </c>
      <c r="K93" s="396" t="s">
        <v>10</v>
      </c>
      <c r="L93" s="396" t="s">
        <v>12</v>
      </c>
      <c r="M93" s="396" t="s">
        <v>23</v>
      </c>
      <c r="N93" s="401">
        <v>2022</v>
      </c>
      <c r="O93" s="429">
        <v>0.4</v>
      </c>
      <c r="P93" s="429">
        <v>0.4</v>
      </c>
      <c r="Q93" s="429">
        <v>0.4</v>
      </c>
      <c r="R93" s="429">
        <v>0.4</v>
      </c>
      <c r="S93" s="429">
        <v>0.4</v>
      </c>
      <c r="T93" s="403">
        <f>SUM(P94:S94)</f>
        <v>612</v>
      </c>
      <c r="U93" s="404">
        <f>+AS93</f>
        <v>0.44251626898047725</v>
      </c>
      <c r="V93" s="437" t="s">
        <v>36</v>
      </c>
      <c r="W93" s="406">
        <f t="shared" ref="W93:W99" si="7">+U93/O93-1</f>
        <v>0.10629067245119295</v>
      </c>
      <c r="AA93" s="220">
        <v>254</v>
      </c>
      <c r="AB93" s="220">
        <v>631</v>
      </c>
      <c r="AC93" s="308">
        <f t="shared" ref="AC93:AC114" si="8">+AA93/AB93</f>
        <v>0.40253565768621236</v>
      </c>
      <c r="AD93" s="308"/>
      <c r="AE93" s="431">
        <v>210</v>
      </c>
      <c r="AF93" s="407">
        <v>539</v>
      </c>
      <c r="AG93" s="345">
        <f t="shared" ref="AG93:AG114" si="9">+AE93/AF93</f>
        <v>0.38961038961038963</v>
      </c>
      <c r="AH93" s="308"/>
      <c r="AI93" s="273">
        <v>148</v>
      </c>
      <c r="AJ93" s="273">
        <v>213</v>
      </c>
      <c r="AK93" s="237">
        <f>+AI93/AJ93</f>
        <v>0.69483568075117375</v>
      </c>
      <c r="AL93" s="308"/>
      <c r="AM93" s="438"/>
      <c r="AN93" s="439"/>
      <c r="AO93" s="317"/>
      <c r="AP93" s="308"/>
      <c r="AQ93" s="220">
        <f>+AA93+AE93+AI93+AM93</f>
        <v>612</v>
      </c>
      <c r="AR93" s="220">
        <f>+AB93+AF93+AJ93+AN93</f>
        <v>1383</v>
      </c>
      <c r="AS93" s="235">
        <f>+AQ93/AR93</f>
        <v>0.44251626898047725</v>
      </c>
    </row>
    <row r="94" spans="1:49" ht="24.95" customHeight="1" thickBot="1" x14ac:dyDescent="0.3">
      <c r="A94" s="394"/>
      <c r="B94" s="408"/>
      <c r="C94" s="409"/>
      <c r="D94" s="409"/>
      <c r="E94" s="410"/>
      <c r="F94" s="411"/>
      <c r="G94" s="412"/>
      <c r="H94" s="413"/>
      <c r="I94" s="409"/>
      <c r="J94" s="409"/>
      <c r="K94" s="409"/>
      <c r="L94" s="409"/>
      <c r="M94" s="409"/>
      <c r="N94" s="397" t="s">
        <v>219</v>
      </c>
      <c r="O94" s="398"/>
      <c r="P94" s="414">
        <f>+AA93</f>
        <v>254</v>
      </c>
      <c r="Q94" s="440">
        <f>+AE93</f>
        <v>210</v>
      </c>
      <c r="R94" s="414">
        <f>+AI93</f>
        <v>148</v>
      </c>
      <c r="S94" s="414"/>
      <c r="T94" s="415"/>
      <c r="U94" s="416"/>
      <c r="V94" s="441"/>
      <c r="W94" s="418"/>
      <c r="AA94" s="220"/>
      <c r="AB94" s="220"/>
      <c r="AC94" s="308"/>
      <c r="AD94" s="308"/>
      <c r="AE94" s="431"/>
      <c r="AF94" s="407"/>
      <c r="AG94" s="345"/>
      <c r="AH94" s="308"/>
      <c r="AK94" s="312"/>
      <c r="AL94" s="308"/>
      <c r="AP94" s="308"/>
      <c r="AQ94" s="308"/>
      <c r="AR94" s="308"/>
      <c r="AS94" s="308"/>
    </row>
    <row r="95" spans="1:49" ht="24.95" customHeight="1" thickBot="1" x14ac:dyDescent="0.3">
      <c r="A95" s="394"/>
      <c r="B95" s="442"/>
      <c r="C95" s="419"/>
      <c r="D95" s="419"/>
      <c r="E95" s="420"/>
      <c r="F95" s="421"/>
      <c r="G95" s="422"/>
      <c r="H95" s="423"/>
      <c r="I95" s="419"/>
      <c r="J95" s="419"/>
      <c r="K95" s="419"/>
      <c r="L95" s="419"/>
      <c r="M95" s="419"/>
      <c r="N95" s="397" t="s">
        <v>220</v>
      </c>
      <c r="O95" s="398"/>
      <c r="P95" s="424">
        <f>+AC93</f>
        <v>0.40253565768621236</v>
      </c>
      <c r="Q95" s="424">
        <f>+AG93</f>
        <v>0.38961038961038963</v>
      </c>
      <c r="R95" s="402">
        <f>+AK93</f>
        <v>0.69483568075117375</v>
      </c>
      <c r="S95" s="402"/>
      <c r="T95" s="425"/>
      <c r="U95" s="426"/>
      <c r="V95" s="443"/>
      <c r="W95" s="428"/>
      <c r="AA95" s="220"/>
      <c r="AB95" s="220"/>
      <c r="AC95" s="308"/>
      <c r="AD95" s="308"/>
      <c r="AE95" s="431"/>
      <c r="AF95" s="407"/>
      <c r="AG95" s="345"/>
      <c r="AH95" s="308"/>
      <c r="AK95" s="312"/>
      <c r="AL95" s="308"/>
      <c r="AP95" s="308"/>
      <c r="AQ95" s="308"/>
      <c r="AR95" s="308"/>
      <c r="AS95" s="308"/>
    </row>
    <row r="96" spans="1:49" ht="24.95" customHeight="1" thickBot="1" x14ac:dyDescent="0.3">
      <c r="A96" s="394"/>
      <c r="B96" s="444" t="s">
        <v>320</v>
      </c>
      <c r="C96" s="396" t="s">
        <v>321</v>
      </c>
      <c r="D96" s="396" t="s">
        <v>322</v>
      </c>
      <c r="E96" s="397" t="s">
        <v>323</v>
      </c>
      <c r="F96" s="398"/>
      <c r="G96" s="399" t="s">
        <v>324</v>
      </c>
      <c r="H96" s="400"/>
      <c r="I96" s="396" t="s">
        <v>25</v>
      </c>
      <c r="J96" s="396" t="s">
        <v>8</v>
      </c>
      <c r="K96" s="396" t="s">
        <v>10</v>
      </c>
      <c r="L96" s="396" t="s">
        <v>12</v>
      </c>
      <c r="M96" s="396" t="s">
        <v>23</v>
      </c>
      <c r="N96" s="401">
        <v>2022</v>
      </c>
      <c r="O96" s="429">
        <v>1.0900000000000001</v>
      </c>
      <c r="P96" s="429">
        <v>1.0900000000000001</v>
      </c>
      <c r="Q96" s="429">
        <v>1.0900000000000001</v>
      </c>
      <c r="R96" s="429">
        <v>1.0900000000000001</v>
      </c>
      <c r="S96" s="429">
        <v>1.0900000000000001</v>
      </c>
      <c r="T96" s="403">
        <f>SUM(P97:S97)</f>
        <v>12715</v>
      </c>
      <c r="U96" s="404">
        <f>+AS96</f>
        <v>1.0994379593601384</v>
      </c>
      <c r="V96" s="405" t="s">
        <v>35</v>
      </c>
      <c r="W96" s="406">
        <f t="shared" si="7"/>
        <v>8.6586783120534694E-3</v>
      </c>
      <c r="AA96" s="220">
        <v>4827</v>
      </c>
      <c r="AB96" s="220">
        <v>4089</v>
      </c>
      <c r="AC96" s="308">
        <f t="shared" si="8"/>
        <v>1.1804842259721202</v>
      </c>
      <c r="AD96" s="308"/>
      <c r="AE96" s="431">
        <v>4254</v>
      </c>
      <c r="AF96" s="407">
        <v>3936</v>
      </c>
      <c r="AG96" s="345">
        <f t="shared" si="9"/>
        <v>1.0807926829268293</v>
      </c>
      <c r="AH96" s="308"/>
      <c r="AI96" s="273">
        <v>3634</v>
      </c>
      <c r="AJ96" s="273">
        <v>3540</v>
      </c>
      <c r="AK96" s="237">
        <f>+AI96/AJ96</f>
        <v>1.0265536723163842</v>
      </c>
      <c r="AL96" s="308"/>
      <c r="AM96" s="346"/>
      <c r="AN96" s="346"/>
      <c r="AO96" s="317"/>
      <c r="AP96" s="308"/>
      <c r="AQ96" s="220">
        <f>+AA96+AE96+AI96+AM96</f>
        <v>12715</v>
      </c>
      <c r="AR96" s="220">
        <f>+AB96+AF96+AJ96+AN96</f>
        <v>11565</v>
      </c>
      <c r="AS96" s="235">
        <f>+AQ96/AR96</f>
        <v>1.0994379593601384</v>
      </c>
    </row>
    <row r="97" spans="1:45" ht="24.95" customHeight="1" thickBot="1" x14ac:dyDescent="0.3">
      <c r="A97" s="394"/>
      <c r="B97" s="445"/>
      <c r="C97" s="409"/>
      <c r="D97" s="409"/>
      <c r="E97" s="410"/>
      <c r="F97" s="411"/>
      <c r="G97" s="412"/>
      <c r="H97" s="413"/>
      <c r="I97" s="409"/>
      <c r="J97" s="409"/>
      <c r="K97" s="409"/>
      <c r="L97" s="409"/>
      <c r="M97" s="409"/>
      <c r="N97" s="397" t="s">
        <v>219</v>
      </c>
      <c r="O97" s="398"/>
      <c r="P97" s="414">
        <f>+AA96</f>
        <v>4827</v>
      </c>
      <c r="Q97" s="440">
        <f>+AE96</f>
        <v>4254</v>
      </c>
      <c r="R97" s="414">
        <f>+AI96</f>
        <v>3634</v>
      </c>
      <c r="S97" s="414"/>
      <c r="T97" s="415"/>
      <c r="U97" s="416"/>
      <c r="V97" s="417"/>
      <c r="W97" s="418"/>
      <c r="AA97" s="220"/>
      <c r="AB97" s="220"/>
      <c r="AC97" s="308"/>
      <c r="AD97" s="308"/>
      <c r="AE97" s="431"/>
      <c r="AF97" s="407"/>
      <c r="AG97" s="345"/>
      <c r="AH97" s="308"/>
      <c r="AK97" s="312"/>
      <c r="AL97" s="308"/>
      <c r="AP97" s="308"/>
      <c r="AQ97" s="308"/>
      <c r="AR97" s="308"/>
      <c r="AS97" s="308"/>
    </row>
    <row r="98" spans="1:45" ht="24.95" customHeight="1" thickBot="1" x14ac:dyDescent="0.3">
      <c r="A98" s="394"/>
      <c r="B98" s="446"/>
      <c r="C98" s="419"/>
      <c r="D98" s="419"/>
      <c r="E98" s="420"/>
      <c r="F98" s="421"/>
      <c r="G98" s="422"/>
      <c r="H98" s="423"/>
      <c r="I98" s="419"/>
      <c r="J98" s="419"/>
      <c r="K98" s="419"/>
      <c r="L98" s="419"/>
      <c r="M98" s="419"/>
      <c r="N98" s="397" t="s">
        <v>220</v>
      </c>
      <c r="O98" s="398"/>
      <c r="P98" s="424">
        <f>+AC96</f>
        <v>1.1804842259721202</v>
      </c>
      <c r="Q98" s="424">
        <f>+AG96</f>
        <v>1.0807926829268293</v>
      </c>
      <c r="R98" s="402">
        <f>+AK96</f>
        <v>1.0265536723163842</v>
      </c>
      <c r="S98" s="402"/>
      <c r="T98" s="425"/>
      <c r="U98" s="426"/>
      <c r="V98" s="427"/>
      <c r="W98" s="428"/>
      <c r="AA98" s="220"/>
      <c r="AB98" s="220"/>
      <c r="AC98" s="308"/>
      <c r="AD98" s="308"/>
      <c r="AE98" s="431"/>
      <c r="AF98" s="407"/>
      <c r="AG98" s="345"/>
      <c r="AH98" s="308"/>
      <c r="AK98" s="312"/>
      <c r="AL98" s="308"/>
      <c r="AP98" s="308"/>
      <c r="AQ98" s="308"/>
      <c r="AR98" s="308"/>
      <c r="AS98" s="308"/>
    </row>
    <row r="99" spans="1:45" ht="24.95" customHeight="1" thickBot="1" x14ac:dyDescent="0.3">
      <c r="A99" s="394"/>
      <c r="B99" s="444" t="s">
        <v>325</v>
      </c>
      <c r="C99" s="396" t="s">
        <v>326</v>
      </c>
      <c r="D99" s="396" t="s">
        <v>327</v>
      </c>
      <c r="E99" s="397" t="s">
        <v>328</v>
      </c>
      <c r="F99" s="398"/>
      <c r="G99" s="399" t="s">
        <v>329</v>
      </c>
      <c r="H99" s="400"/>
      <c r="I99" s="396" t="s">
        <v>25</v>
      </c>
      <c r="J99" s="396" t="s">
        <v>8</v>
      </c>
      <c r="K99" s="396" t="s">
        <v>10</v>
      </c>
      <c r="L99" s="396" t="s">
        <v>12</v>
      </c>
      <c r="M99" s="396" t="s">
        <v>23</v>
      </c>
      <c r="N99" s="401">
        <v>2022</v>
      </c>
      <c r="O99" s="429">
        <v>15</v>
      </c>
      <c r="P99" s="429">
        <v>15</v>
      </c>
      <c r="Q99" s="429">
        <v>15</v>
      </c>
      <c r="R99" s="429">
        <v>15</v>
      </c>
      <c r="S99" s="429">
        <v>15</v>
      </c>
      <c r="T99" s="403">
        <f>SUM(P100:S100)</f>
        <v>188267</v>
      </c>
      <c r="U99" s="404">
        <f>+AS99</f>
        <v>16.279031560743622</v>
      </c>
      <c r="V99" s="405" t="s">
        <v>35</v>
      </c>
      <c r="W99" s="406">
        <f t="shared" si="7"/>
        <v>8.5268770716241393E-2</v>
      </c>
      <c r="AA99" s="220">
        <v>61065</v>
      </c>
      <c r="AB99" s="220">
        <v>4089</v>
      </c>
      <c r="AC99" s="308">
        <f t="shared" si="8"/>
        <v>14.933969185619956</v>
      </c>
      <c r="AD99" s="308"/>
      <c r="AE99" s="407">
        <v>65702</v>
      </c>
      <c r="AF99" s="431">
        <v>3936</v>
      </c>
      <c r="AG99" s="345">
        <f t="shared" si="9"/>
        <v>16.692581300813007</v>
      </c>
      <c r="AH99" s="308"/>
      <c r="AI99" s="273">
        <v>61500</v>
      </c>
      <c r="AJ99" s="273">
        <v>3540</v>
      </c>
      <c r="AK99" s="237">
        <f>+AI99/AJ99</f>
        <v>17.372881355932204</v>
      </c>
      <c r="AL99" s="308"/>
      <c r="AM99" s="346"/>
      <c r="AN99" s="271"/>
      <c r="AO99" s="317"/>
      <c r="AP99" s="308"/>
      <c r="AQ99" s="220">
        <f>+AA99+AE99+AI99+AM99</f>
        <v>188267</v>
      </c>
      <c r="AR99" s="220">
        <f>+AB99+AF99+AJ99+AN99</f>
        <v>11565</v>
      </c>
      <c r="AS99" s="235">
        <f>+AQ99/AR99</f>
        <v>16.279031560743622</v>
      </c>
    </row>
    <row r="100" spans="1:45" ht="24.95" customHeight="1" thickBot="1" x14ac:dyDescent="0.3">
      <c r="A100" s="394"/>
      <c r="B100" s="445"/>
      <c r="C100" s="409"/>
      <c r="D100" s="409"/>
      <c r="E100" s="410"/>
      <c r="F100" s="411"/>
      <c r="G100" s="412"/>
      <c r="H100" s="413"/>
      <c r="I100" s="409"/>
      <c r="J100" s="409"/>
      <c r="K100" s="409"/>
      <c r="L100" s="409"/>
      <c r="M100" s="409"/>
      <c r="N100" s="397" t="s">
        <v>219</v>
      </c>
      <c r="O100" s="398"/>
      <c r="P100" s="414">
        <f>+AA99</f>
        <v>61065</v>
      </c>
      <c r="Q100" s="440">
        <f>+AE99</f>
        <v>65702</v>
      </c>
      <c r="R100" s="414">
        <f>+AI99</f>
        <v>61500</v>
      </c>
      <c r="S100" s="414"/>
      <c r="T100" s="415"/>
      <c r="U100" s="416"/>
      <c r="V100" s="417"/>
      <c r="W100" s="418"/>
      <c r="AA100" s="220"/>
      <c r="AB100" s="220"/>
      <c r="AC100" s="308"/>
      <c r="AD100" s="308"/>
      <c r="AE100" s="407"/>
      <c r="AF100" s="431"/>
      <c r="AG100" s="345"/>
      <c r="AH100" s="308"/>
      <c r="AK100" s="312"/>
      <c r="AL100" s="308"/>
      <c r="AP100" s="308"/>
      <c r="AQ100" s="308"/>
      <c r="AR100" s="308"/>
      <c r="AS100" s="308"/>
    </row>
    <row r="101" spans="1:45" ht="24.95" customHeight="1" thickBot="1" x14ac:dyDescent="0.3">
      <c r="A101" s="394"/>
      <c r="B101" s="446"/>
      <c r="C101" s="419"/>
      <c r="D101" s="419"/>
      <c r="E101" s="420"/>
      <c r="F101" s="421"/>
      <c r="G101" s="422"/>
      <c r="H101" s="423"/>
      <c r="I101" s="419"/>
      <c r="J101" s="419"/>
      <c r="K101" s="419"/>
      <c r="L101" s="419"/>
      <c r="M101" s="419"/>
      <c r="N101" s="397" t="s">
        <v>220</v>
      </c>
      <c r="O101" s="398"/>
      <c r="P101" s="424">
        <f>+AC99</f>
        <v>14.933969185619956</v>
      </c>
      <c r="Q101" s="424">
        <f>+AG99</f>
        <v>16.692581300813007</v>
      </c>
      <c r="R101" s="402">
        <f>+AK99</f>
        <v>17.372881355932204</v>
      </c>
      <c r="S101" s="402"/>
      <c r="T101" s="425"/>
      <c r="U101" s="426"/>
      <c r="V101" s="427"/>
      <c r="W101" s="428"/>
      <c r="AA101" s="220"/>
      <c r="AB101" s="220"/>
      <c r="AC101" s="308"/>
      <c r="AD101" s="308"/>
      <c r="AE101" s="407"/>
      <c r="AF101" s="431"/>
      <c r="AG101" s="345"/>
      <c r="AH101" s="308"/>
      <c r="AK101" s="312"/>
      <c r="AL101" s="308"/>
      <c r="AP101" s="308"/>
      <c r="AQ101" s="308"/>
      <c r="AR101" s="308"/>
      <c r="AS101" s="308"/>
    </row>
    <row r="102" spans="1:45" ht="24.95" customHeight="1" thickBot="1" x14ac:dyDescent="0.3">
      <c r="A102" s="394"/>
      <c r="B102" s="444" t="s">
        <v>330</v>
      </c>
      <c r="C102" s="396" t="s">
        <v>331</v>
      </c>
      <c r="D102" s="396" t="s">
        <v>332</v>
      </c>
      <c r="E102" s="397" t="s">
        <v>333</v>
      </c>
      <c r="F102" s="398"/>
      <c r="G102" s="399" t="s">
        <v>334</v>
      </c>
      <c r="H102" s="400"/>
      <c r="I102" s="396" t="s">
        <v>25</v>
      </c>
      <c r="J102" s="396" t="s">
        <v>8</v>
      </c>
      <c r="K102" s="396" t="s">
        <v>10</v>
      </c>
      <c r="L102" s="396" t="s">
        <v>12</v>
      </c>
      <c r="M102" s="396" t="s">
        <v>23</v>
      </c>
      <c r="N102" s="401">
        <v>2022</v>
      </c>
      <c r="O102" s="429">
        <v>1.3</v>
      </c>
      <c r="P102" s="429">
        <v>1.3</v>
      </c>
      <c r="Q102" s="429">
        <v>1.3</v>
      </c>
      <c r="R102" s="429">
        <v>1.3</v>
      </c>
      <c r="S102" s="429">
        <v>1.3</v>
      </c>
      <c r="T102" s="403">
        <f>SUM(P103:S103)</f>
        <v>15726</v>
      </c>
      <c r="U102" s="404">
        <f>+AS102</f>
        <v>1.359792477302205</v>
      </c>
      <c r="V102" s="405" t="s">
        <v>35</v>
      </c>
      <c r="W102" s="406">
        <f t="shared" ref="W102:W114" si="10">+U102/O102-1</f>
        <v>4.5994213309388465E-2</v>
      </c>
      <c r="AA102" s="220">
        <v>5731</v>
      </c>
      <c r="AB102" s="220">
        <v>4089</v>
      </c>
      <c r="AC102" s="308">
        <f t="shared" si="8"/>
        <v>1.4015651748593789</v>
      </c>
      <c r="AD102" s="308"/>
      <c r="AE102" s="407">
        <v>5295</v>
      </c>
      <c r="AF102" s="431">
        <v>3936</v>
      </c>
      <c r="AG102" s="345">
        <f t="shared" si="9"/>
        <v>1.3452743902439024</v>
      </c>
      <c r="AH102" s="308"/>
      <c r="AI102" s="273">
        <v>4700</v>
      </c>
      <c r="AJ102" s="273">
        <v>3540</v>
      </c>
      <c r="AK102" s="237">
        <f>+AI102/AJ102</f>
        <v>1.3276836158192091</v>
      </c>
      <c r="AL102" s="308"/>
      <c r="AM102" s="346"/>
      <c r="AN102" s="271"/>
      <c r="AO102" s="317"/>
      <c r="AP102" s="308"/>
      <c r="AQ102" s="220">
        <f>+AA102+AE102+AI102+AM102</f>
        <v>15726</v>
      </c>
      <c r="AR102" s="220">
        <f>+AB102+AF102+AJ102+AN102</f>
        <v>11565</v>
      </c>
      <c r="AS102" s="235">
        <f>+AQ102/AR102</f>
        <v>1.359792477302205</v>
      </c>
    </row>
    <row r="103" spans="1:45" ht="24.95" customHeight="1" thickBot="1" x14ac:dyDescent="0.3">
      <c r="A103" s="394"/>
      <c r="B103" s="445"/>
      <c r="C103" s="409"/>
      <c r="D103" s="409"/>
      <c r="E103" s="410"/>
      <c r="F103" s="411"/>
      <c r="G103" s="412"/>
      <c r="H103" s="413"/>
      <c r="I103" s="409"/>
      <c r="J103" s="409"/>
      <c r="K103" s="409"/>
      <c r="L103" s="409"/>
      <c r="M103" s="409"/>
      <c r="N103" s="397" t="s">
        <v>219</v>
      </c>
      <c r="O103" s="398"/>
      <c r="P103" s="414">
        <f>+AA102</f>
        <v>5731</v>
      </c>
      <c r="Q103" s="440">
        <f>+AE102</f>
        <v>5295</v>
      </c>
      <c r="R103" s="414">
        <f>+AI102</f>
        <v>4700</v>
      </c>
      <c r="S103" s="414"/>
      <c r="T103" s="415"/>
      <c r="U103" s="416"/>
      <c r="V103" s="417"/>
      <c r="W103" s="418"/>
      <c r="AA103" s="220"/>
      <c r="AB103" s="220"/>
      <c r="AC103" s="308"/>
      <c r="AD103" s="308"/>
      <c r="AE103" s="407"/>
      <c r="AF103" s="431"/>
      <c r="AG103" s="345"/>
      <c r="AH103" s="308"/>
      <c r="AK103" s="312"/>
      <c r="AL103" s="308"/>
      <c r="AP103" s="308"/>
      <c r="AQ103" s="308"/>
      <c r="AR103" s="308"/>
      <c r="AS103" s="308"/>
    </row>
    <row r="104" spans="1:45" ht="24.95" customHeight="1" thickBot="1" x14ac:dyDescent="0.3">
      <c r="A104" s="394"/>
      <c r="B104" s="446"/>
      <c r="C104" s="419"/>
      <c r="D104" s="419"/>
      <c r="E104" s="420"/>
      <c r="F104" s="421"/>
      <c r="G104" s="422"/>
      <c r="H104" s="423"/>
      <c r="I104" s="419"/>
      <c r="J104" s="419"/>
      <c r="K104" s="419"/>
      <c r="L104" s="419"/>
      <c r="M104" s="419"/>
      <c r="N104" s="397" t="s">
        <v>220</v>
      </c>
      <c r="O104" s="398"/>
      <c r="P104" s="424">
        <f>+AC102</f>
        <v>1.4015651748593789</v>
      </c>
      <c r="Q104" s="424">
        <f>+AG102</f>
        <v>1.3452743902439024</v>
      </c>
      <c r="R104" s="402">
        <f>+AK102</f>
        <v>1.3276836158192091</v>
      </c>
      <c r="S104" s="402"/>
      <c r="T104" s="425"/>
      <c r="U104" s="426"/>
      <c r="V104" s="427"/>
      <c r="W104" s="428"/>
      <c r="AA104" s="220"/>
      <c r="AB104" s="220"/>
      <c r="AC104" s="308"/>
      <c r="AD104" s="308"/>
      <c r="AE104" s="407"/>
      <c r="AF104" s="431"/>
      <c r="AG104" s="345"/>
      <c r="AH104" s="308"/>
      <c r="AK104" s="312"/>
      <c r="AL104" s="308"/>
      <c r="AP104" s="308"/>
      <c r="AQ104" s="308"/>
      <c r="AR104" s="308"/>
      <c r="AS104" s="308"/>
    </row>
    <row r="105" spans="1:45" ht="24.95" customHeight="1" thickBot="1" x14ac:dyDescent="0.3">
      <c r="A105" s="394"/>
      <c r="B105" s="444" t="s">
        <v>335</v>
      </c>
      <c r="C105" s="396" t="s">
        <v>336</v>
      </c>
      <c r="D105" s="396" t="s">
        <v>337</v>
      </c>
      <c r="E105" s="397" t="s">
        <v>338</v>
      </c>
      <c r="F105" s="398"/>
      <c r="G105" s="399" t="s">
        <v>339</v>
      </c>
      <c r="H105" s="400"/>
      <c r="I105" s="396" t="s">
        <v>25</v>
      </c>
      <c r="J105" s="396" t="s">
        <v>8</v>
      </c>
      <c r="K105" s="396" t="s">
        <v>10</v>
      </c>
      <c r="L105" s="396" t="s">
        <v>79</v>
      </c>
      <c r="M105" s="396" t="s">
        <v>23</v>
      </c>
      <c r="N105" s="401">
        <v>2022</v>
      </c>
      <c r="O105" s="429">
        <v>0.2</v>
      </c>
      <c r="P105" s="429">
        <v>0.2</v>
      </c>
      <c r="Q105" s="429">
        <v>0.2</v>
      </c>
      <c r="R105" s="429">
        <v>0.2</v>
      </c>
      <c r="S105" s="429">
        <v>0.2</v>
      </c>
      <c r="T105" s="403">
        <f>SUM(P106:S106)</f>
        <v>291</v>
      </c>
      <c r="U105" s="404">
        <f>+AS105</f>
        <v>0.21194464675892208</v>
      </c>
      <c r="V105" s="405" t="s">
        <v>35</v>
      </c>
      <c r="W105" s="406">
        <f t="shared" si="10"/>
        <v>5.9723233794610309E-2</v>
      </c>
      <c r="AA105" s="220">
        <v>91</v>
      </c>
      <c r="AB105" s="220">
        <v>631</v>
      </c>
      <c r="AC105" s="308">
        <f t="shared" si="8"/>
        <v>0.14421553090332806</v>
      </c>
      <c r="AD105" s="308"/>
      <c r="AE105" s="407">
        <v>117</v>
      </c>
      <c r="AF105" s="407">
        <v>529</v>
      </c>
      <c r="AG105" s="345">
        <f t="shared" si="9"/>
        <v>0.22117202268431002</v>
      </c>
      <c r="AH105" s="308"/>
      <c r="AI105" s="273">
        <v>83</v>
      </c>
      <c r="AJ105" s="273">
        <v>213</v>
      </c>
      <c r="AK105" s="447">
        <f>+AI105/AJ105</f>
        <v>0.38967136150234744</v>
      </c>
      <c r="AL105" s="308"/>
      <c r="AM105" s="346"/>
      <c r="AN105" s="271"/>
      <c r="AO105" s="317"/>
      <c r="AP105" s="308"/>
      <c r="AQ105" s="220">
        <f>+AA105+AE105+AI105+AM105</f>
        <v>291</v>
      </c>
      <c r="AR105" s="220">
        <f>+AB105+AF105+AJ105+AN105</f>
        <v>1373</v>
      </c>
      <c r="AS105" s="235">
        <f>+AQ105/AR105</f>
        <v>0.21194464675892208</v>
      </c>
    </row>
    <row r="106" spans="1:45" ht="24.95" customHeight="1" thickBot="1" x14ac:dyDescent="0.3">
      <c r="A106" s="394"/>
      <c r="B106" s="445"/>
      <c r="C106" s="409"/>
      <c r="D106" s="409"/>
      <c r="E106" s="410"/>
      <c r="F106" s="411"/>
      <c r="G106" s="412"/>
      <c r="H106" s="413"/>
      <c r="I106" s="409"/>
      <c r="J106" s="409"/>
      <c r="K106" s="409"/>
      <c r="L106" s="409"/>
      <c r="M106" s="409"/>
      <c r="N106" s="397" t="s">
        <v>219</v>
      </c>
      <c r="O106" s="398"/>
      <c r="P106" s="414">
        <f>+AA105</f>
        <v>91</v>
      </c>
      <c r="Q106" s="440">
        <f>+AE105</f>
        <v>117</v>
      </c>
      <c r="R106" s="414">
        <f>+AI105</f>
        <v>83</v>
      </c>
      <c r="S106" s="414"/>
      <c r="T106" s="415"/>
      <c r="U106" s="416"/>
      <c r="V106" s="417"/>
      <c r="W106" s="418"/>
      <c r="AA106" s="220"/>
      <c r="AB106" s="220"/>
      <c r="AC106" s="308"/>
      <c r="AD106" s="308"/>
      <c r="AE106" s="407"/>
      <c r="AF106" s="407"/>
      <c r="AG106" s="345"/>
      <c r="AH106" s="308"/>
      <c r="AK106" s="312"/>
      <c r="AL106" s="308"/>
      <c r="AP106" s="308"/>
      <c r="AQ106" s="308"/>
      <c r="AR106" s="308"/>
      <c r="AS106" s="308"/>
    </row>
    <row r="107" spans="1:45" ht="24.95" customHeight="1" thickBot="1" x14ac:dyDescent="0.3">
      <c r="A107" s="394"/>
      <c r="B107" s="445"/>
      <c r="C107" s="409"/>
      <c r="D107" s="419"/>
      <c r="E107" s="420"/>
      <c r="F107" s="421"/>
      <c r="G107" s="422"/>
      <c r="H107" s="423"/>
      <c r="I107" s="419"/>
      <c r="J107" s="419"/>
      <c r="K107" s="419"/>
      <c r="L107" s="419"/>
      <c r="M107" s="419"/>
      <c r="N107" s="397" t="s">
        <v>220</v>
      </c>
      <c r="O107" s="398"/>
      <c r="P107" s="424">
        <f>+AC105</f>
        <v>0.14421553090332806</v>
      </c>
      <c r="Q107" s="424">
        <f>+AG105</f>
        <v>0.22117202268431002</v>
      </c>
      <c r="R107" s="402">
        <f>+AK105</f>
        <v>0.38967136150234744</v>
      </c>
      <c r="S107" s="402"/>
      <c r="T107" s="425"/>
      <c r="U107" s="426"/>
      <c r="V107" s="427"/>
      <c r="W107" s="428"/>
      <c r="AA107" s="220"/>
      <c r="AB107" s="220"/>
      <c r="AC107" s="308"/>
      <c r="AD107" s="308"/>
      <c r="AE107" s="407"/>
      <c r="AF107" s="407"/>
      <c r="AG107" s="345"/>
      <c r="AH107" s="308"/>
      <c r="AK107" s="312"/>
      <c r="AL107" s="308"/>
      <c r="AP107" s="308"/>
      <c r="AQ107" s="308"/>
      <c r="AR107" s="308"/>
      <c r="AS107" s="308"/>
    </row>
    <row r="108" spans="1:45" ht="24.95" customHeight="1" thickBot="1" x14ac:dyDescent="0.3">
      <c r="A108" s="394"/>
      <c r="B108" s="445"/>
      <c r="C108" s="409"/>
      <c r="D108" s="396" t="s">
        <v>340</v>
      </c>
      <c r="E108" s="397" t="s">
        <v>341</v>
      </c>
      <c r="F108" s="398"/>
      <c r="G108" s="399" t="s">
        <v>342</v>
      </c>
      <c r="H108" s="400"/>
      <c r="I108" s="396" t="s">
        <v>25</v>
      </c>
      <c r="J108" s="396" t="s">
        <v>8</v>
      </c>
      <c r="K108" s="396" t="s">
        <v>10</v>
      </c>
      <c r="L108" s="396" t="s">
        <v>79</v>
      </c>
      <c r="M108" s="396" t="s">
        <v>23</v>
      </c>
      <c r="N108" s="401">
        <v>2022</v>
      </c>
      <c r="O108" s="429">
        <v>0.12</v>
      </c>
      <c r="P108" s="429">
        <v>0.12</v>
      </c>
      <c r="Q108" s="429">
        <v>0.12</v>
      </c>
      <c r="R108" s="429">
        <v>0.12</v>
      </c>
      <c r="S108" s="429">
        <v>0.12</v>
      </c>
      <c r="T108" s="403">
        <f>SUM(P109:S109)</f>
        <v>199</v>
      </c>
      <c r="U108" s="404">
        <f>+AS108</f>
        <v>0.14493809176984704</v>
      </c>
      <c r="V108" s="430" t="s">
        <v>37</v>
      </c>
      <c r="W108" s="406">
        <f t="shared" si="10"/>
        <v>0.207817431415392</v>
      </c>
      <c r="AA108" s="220">
        <v>112</v>
      </c>
      <c r="AB108" s="220">
        <v>631</v>
      </c>
      <c r="AC108" s="308">
        <f t="shared" si="8"/>
        <v>0.1774960380348653</v>
      </c>
      <c r="AD108" s="308"/>
      <c r="AE108" s="407">
        <v>51</v>
      </c>
      <c r="AF108" s="431">
        <v>529</v>
      </c>
      <c r="AG108" s="345">
        <f t="shared" si="9"/>
        <v>9.6408317580340269E-2</v>
      </c>
      <c r="AH108" s="308"/>
      <c r="AI108" s="273">
        <v>36</v>
      </c>
      <c r="AJ108" s="273">
        <v>213</v>
      </c>
      <c r="AK108" s="447">
        <f>+AI108/AJ108</f>
        <v>0.16901408450704225</v>
      </c>
      <c r="AL108" s="308"/>
      <c r="AM108" s="346"/>
      <c r="AN108" s="271"/>
      <c r="AO108" s="317"/>
      <c r="AP108" s="308"/>
      <c r="AQ108" s="220">
        <f>+AA108+AE108+AI108+AM108</f>
        <v>199</v>
      </c>
      <c r="AR108" s="220">
        <f>+AB108+AF108+AJ108+AN108</f>
        <v>1373</v>
      </c>
      <c r="AS108" s="235">
        <f>+AQ108/AR108</f>
        <v>0.14493809176984704</v>
      </c>
    </row>
    <row r="109" spans="1:45" ht="24.95" customHeight="1" thickBot="1" x14ac:dyDescent="0.3">
      <c r="A109" s="394"/>
      <c r="B109" s="445"/>
      <c r="C109" s="409"/>
      <c r="D109" s="409"/>
      <c r="E109" s="410"/>
      <c r="F109" s="411"/>
      <c r="G109" s="412"/>
      <c r="H109" s="413"/>
      <c r="I109" s="409"/>
      <c r="J109" s="409"/>
      <c r="K109" s="409"/>
      <c r="L109" s="409"/>
      <c r="M109" s="409"/>
      <c r="N109" s="397" t="s">
        <v>219</v>
      </c>
      <c r="O109" s="398"/>
      <c r="P109" s="414">
        <f>+AA108</f>
        <v>112</v>
      </c>
      <c r="Q109" s="440">
        <f>+AE108</f>
        <v>51</v>
      </c>
      <c r="R109" s="414">
        <f>+AI108</f>
        <v>36</v>
      </c>
      <c r="S109" s="414"/>
      <c r="T109" s="415"/>
      <c r="U109" s="416"/>
      <c r="V109" s="435"/>
      <c r="W109" s="418"/>
      <c r="AA109" s="220"/>
      <c r="AB109" s="220"/>
      <c r="AC109" s="308"/>
      <c r="AD109" s="308"/>
      <c r="AE109" s="407"/>
      <c r="AF109" s="431"/>
      <c r="AG109" s="345"/>
      <c r="AH109" s="308"/>
      <c r="AK109" s="312"/>
      <c r="AL109" s="308"/>
      <c r="AP109" s="308"/>
      <c r="AQ109" s="308"/>
      <c r="AR109" s="308"/>
      <c r="AS109" s="308"/>
    </row>
    <row r="110" spans="1:45" ht="24.95" customHeight="1" thickBot="1" x14ac:dyDescent="0.3">
      <c r="A110" s="394"/>
      <c r="B110" s="445"/>
      <c r="C110" s="409"/>
      <c r="D110" s="419"/>
      <c r="E110" s="420"/>
      <c r="F110" s="421"/>
      <c r="G110" s="422"/>
      <c r="H110" s="423"/>
      <c r="I110" s="419"/>
      <c r="J110" s="419"/>
      <c r="K110" s="419"/>
      <c r="L110" s="419"/>
      <c r="M110" s="419"/>
      <c r="N110" s="397" t="s">
        <v>220</v>
      </c>
      <c r="O110" s="398"/>
      <c r="P110" s="424">
        <f>+AC108</f>
        <v>0.1774960380348653</v>
      </c>
      <c r="Q110" s="424">
        <f>+AG108</f>
        <v>9.6408317580340269E-2</v>
      </c>
      <c r="R110" s="402">
        <f>+AK108</f>
        <v>0.16901408450704225</v>
      </c>
      <c r="S110" s="402"/>
      <c r="T110" s="425"/>
      <c r="U110" s="426"/>
      <c r="V110" s="436"/>
      <c r="W110" s="428"/>
      <c r="AA110" s="220"/>
      <c r="AB110" s="220"/>
      <c r="AC110" s="308"/>
      <c r="AD110" s="308"/>
      <c r="AE110" s="407"/>
      <c r="AF110" s="431"/>
      <c r="AG110" s="345"/>
      <c r="AH110" s="308"/>
      <c r="AK110" s="312"/>
      <c r="AL110" s="308"/>
      <c r="AP110" s="308"/>
      <c r="AQ110" s="308"/>
      <c r="AR110" s="308"/>
      <c r="AS110" s="308"/>
    </row>
    <row r="111" spans="1:45" ht="24.95" customHeight="1" thickBot="1" x14ac:dyDescent="0.3">
      <c r="A111" s="394"/>
      <c r="B111" s="445"/>
      <c r="C111" s="409"/>
      <c r="D111" s="396" t="s">
        <v>343</v>
      </c>
      <c r="E111" s="397" t="s">
        <v>344</v>
      </c>
      <c r="F111" s="398"/>
      <c r="G111" s="399" t="s">
        <v>345</v>
      </c>
      <c r="H111" s="400"/>
      <c r="I111" s="396" t="s">
        <v>25</v>
      </c>
      <c r="J111" s="396" t="s">
        <v>8</v>
      </c>
      <c r="K111" s="396" t="s">
        <v>10</v>
      </c>
      <c r="L111" s="396" t="s">
        <v>12</v>
      </c>
      <c r="M111" s="396" t="s">
        <v>23</v>
      </c>
      <c r="N111" s="401">
        <v>2022</v>
      </c>
      <c r="O111" s="429">
        <v>0.09</v>
      </c>
      <c r="P111" s="429">
        <v>0.09</v>
      </c>
      <c r="Q111" s="429">
        <v>0.09</v>
      </c>
      <c r="R111" s="429">
        <v>0.09</v>
      </c>
      <c r="S111" s="429">
        <v>0.09</v>
      </c>
      <c r="T111" s="403">
        <f>SUM(P112:S112)</f>
        <v>122</v>
      </c>
      <c r="U111" s="404">
        <f>+AS111</f>
        <v>8.885651857246904E-2</v>
      </c>
      <c r="V111" s="405" t="s">
        <v>35</v>
      </c>
      <c r="W111" s="406">
        <f t="shared" si="10"/>
        <v>-1.2705349194788385E-2</v>
      </c>
      <c r="AA111" s="220">
        <v>51</v>
      </c>
      <c r="AB111" s="220">
        <v>631</v>
      </c>
      <c r="AC111" s="308">
        <f t="shared" si="8"/>
        <v>8.0824088748019024E-2</v>
      </c>
      <c r="AD111" s="308"/>
      <c r="AE111" s="407">
        <v>42</v>
      </c>
      <c r="AF111" s="431">
        <v>529</v>
      </c>
      <c r="AG111" s="345">
        <f t="shared" si="9"/>
        <v>7.9395085066162566E-2</v>
      </c>
      <c r="AH111" s="308"/>
      <c r="AI111" s="448">
        <v>29</v>
      </c>
      <c r="AJ111" s="273">
        <v>213</v>
      </c>
      <c r="AK111" s="447">
        <f>+AI111/AJ111</f>
        <v>0.13615023474178403</v>
      </c>
      <c r="AL111" s="308"/>
      <c r="AM111" s="390"/>
      <c r="AN111" s="391"/>
      <c r="AO111" s="392"/>
      <c r="AP111" s="308"/>
      <c r="AQ111" s="220">
        <f>+AA111+AE111+AI111+AM111</f>
        <v>122</v>
      </c>
      <c r="AR111" s="220">
        <f>+AB111+AF111+AJ111+AN111</f>
        <v>1373</v>
      </c>
      <c r="AS111" s="235">
        <f>+AQ111/AR111</f>
        <v>8.885651857246904E-2</v>
      </c>
    </row>
    <row r="112" spans="1:45" ht="24.95" customHeight="1" thickBot="1" x14ac:dyDescent="0.3">
      <c r="A112" s="449"/>
      <c r="B112" s="445"/>
      <c r="C112" s="409"/>
      <c r="D112" s="409"/>
      <c r="E112" s="410"/>
      <c r="F112" s="411"/>
      <c r="G112" s="412"/>
      <c r="H112" s="413"/>
      <c r="I112" s="409"/>
      <c r="J112" s="409"/>
      <c r="K112" s="409"/>
      <c r="L112" s="409"/>
      <c r="M112" s="409"/>
      <c r="N112" s="397" t="s">
        <v>219</v>
      </c>
      <c r="O112" s="398"/>
      <c r="P112" s="414">
        <f>+AA111</f>
        <v>51</v>
      </c>
      <c r="Q112" s="440">
        <f>+AE111</f>
        <v>42</v>
      </c>
      <c r="R112" s="414">
        <f>+AI111</f>
        <v>29</v>
      </c>
      <c r="S112" s="414"/>
      <c r="T112" s="415"/>
      <c r="U112" s="416"/>
      <c r="V112" s="417"/>
      <c r="W112" s="418"/>
      <c r="AA112" s="220"/>
      <c r="AB112" s="220"/>
      <c r="AC112" s="308"/>
      <c r="AD112" s="308"/>
      <c r="AE112" s="407"/>
      <c r="AF112" s="431"/>
      <c r="AG112" s="345"/>
      <c r="AH112" s="308"/>
      <c r="AK112" s="312"/>
      <c r="AL112" s="308"/>
      <c r="AP112" s="308"/>
      <c r="AQ112" s="308"/>
      <c r="AR112" s="308"/>
      <c r="AS112" s="308"/>
    </row>
    <row r="113" spans="1:45" ht="24.95" customHeight="1" thickBot="1" x14ac:dyDescent="0.3">
      <c r="A113" s="449"/>
      <c r="B113" s="446"/>
      <c r="C113" s="419"/>
      <c r="D113" s="419"/>
      <c r="E113" s="420"/>
      <c r="F113" s="421"/>
      <c r="G113" s="422"/>
      <c r="H113" s="423"/>
      <c r="I113" s="419"/>
      <c r="J113" s="419"/>
      <c r="K113" s="419"/>
      <c r="L113" s="419"/>
      <c r="M113" s="419"/>
      <c r="N113" s="397" t="s">
        <v>220</v>
      </c>
      <c r="O113" s="398"/>
      <c r="P113" s="424">
        <f>+AC111</f>
        <v>8.0824088748019024E-2</v>
      </c>
      <c r="Q113" s="424">
        <f>+AG111</f>
        <v>7.9395085066162566E-2</v>
      </c>
      <c r="R113" s="402">
        <f>+AK111</f>
        <v>0.13615023474178403</v>
      </c>
      <c r="S113" s="402"/>
      <c r="T113" s="425"/>
      <c r="U113" s="426"/>
      <c r="V113" s="427"/>
      <c r="W113" s="428"/>
      <c r="AA113" s="220"/>
      <c r="AB113" s="220"/>
      <c r="AC113" s="308"/>
      <c r="AD113" s="308"/>
      <c r="AE113" s="407"/>
      <c r="AF113" s="431"/>
      <c r="AG113" s="345"/>
      <c r="AH113" s="308"/>
      <c r="AK113" s="312"/>
      <c r="AL113" s="308"/>
      <c r="AP113" s="308"/>
      <c r="AQ113" s="308"/>
      <c r="AR113" s="308"/>
      <c r="AS113" s="308"/>
    </row>
    <row r="114" spans="1:45" ht="24.95" customHeight="1" thickBot="1" x14ac:dyDescent="0.3">
      <c r="A114" s="450" t="s">
        <v>346</v>
      </c>
      <c r="B114" s="451" t="s">
        <v>347</v>
      </c>
      <c r="C114" s="452" t="s">
        <v>348</v>
      </c>
      <c r="D114" s="452" t="s">
        <v>349</v>
      </c>
      <c r="E114" s="453" t="s">
        <v>350</v>
      </c>
      <c r="F114" s="454"/>
      <c r="G114" s="455" t="s">
        <v>351</v>
      </c>
      <c r="H114" s="456"/>
      <c r="I114" s="457" t="s">
        <v>25</v>
      </c>
      <c r="J114" s="457" t="s">
        <v>8</v>
      </c>
      <c r="K114" s="457" t="s">
        <v>10</v>
      </c>
      <c r="L114" s="457" t="s">
        <v>12</v>
      </c>
      <c r="M114" s="457" t="s">
        <v>23</v>
      </c>
      <c r="N114" s="458">
        <v>2022</v>
      </c>
      <c r="O114" s="459">
        <v>0.2</v>
      </c>
      <c r="P114" s="459">
        <v>0.2</v>
      </c>
      <c r="Q114" s="459">
        <v>0.2</v>
      </c>
      <c r="R114" s="459">
        <v>0.2</v>
      </c>
      <c r="S114" s="459">
        <v>0.2</v>
      </c>
      <c r="T114" s="460">
        <f>SUM(P115:S115)</f>
        <v>209</v>
      </c>
      <c r="U114" s="461">
        <f>+AS114</f>
        <v>0.21435897435897436</v>
      </c>
      <c r="V114" s="462" t="s">
        <v>35</v>
      </c>
      <c r="W114" s="463">
        <f t="shared" si="10"/>
        <v>7.1794871794871762E-2</v>
      </c>
      <c r="AA114" s="220">
        <v>65</v>
      </c>
      <c r="AB114" s="220">
        <v>413</v>
      </c>
      <c r="AC114" s="308">
        <f t="shared" si="8"/>
        <v>0.15738498789346247</v>
      </c>
      <c r="AD114" s="308"/>
      <c r="AE114" s="407">
        <v>98</v>
      </c>
      <c r="AF114" s="407">
        <v>277</v>
      </c>
      <c r="AG114" s="345">
        <f t="shared" si="9"/>
        <v>0.35379061371841153</v>
      </c>
      <c r="AH114" s="308"/>
      <c r="AI114" s="448">
        <v>46</v>
      </c>
      <c r="AJ114" s="448">
        <v>285</v>
      </c>
      <c r="AK114" s="447">
        <f>+AI114/AJ114</f>
        <v>0.16140350877192983</v>
      </c>
      <c r="AL114" s="308"/>
      <c r="AM114" s="346"/>
      <c r="AN114" s="346"/>
      <c r="AO114" s="317"/>
      <c r="AP114" s="308"/>
      <c r="AQ114" s="220">
        <f>+AA114+AE114+AI114+AM114</f>
        <v>209</v>
      </c>
      <c r="AR114" s="220">
        <f>+AB114+AF114+AJ114+AN114</f>
        <v>975</v>
      </c>
      <c r="AS114" s="235">
        <f>+AQ114/AR114</f>
        <v>0.21435897435897436</v>
      </c>
    </row>
    <row r="115" spans="1:45" ht="24.95" customHeight="1" thickBot="1" x14ac:dyDescent="0.3">
      <c r="A115" s="450"/>
      <c r="B115" s="464"/>
      <c r="C115" s="465"/>
      <c r="D115" s="465"/>
      <c r="E115" s="466"/>
      <c r="F115" s="467"/>
      <c r="G115" s="468"/>
      <c r="H115" s="469"/>
      <c r="I115" s="470"/>
      <c r="J115" s="470"/>
      <c r="K115" s="470"/>
      <c r="L115" s="470"/>
      <c r="M115" s="470"/>
      <c r="N115" s="453" t="s">
        <v>219</v>
      </c>
      <c r="O115" s="454"/>
      <c r="P115" s="471">
        <f>+AA114</f>
        <v>65</v>
      </c>
      <c r="Q115" s="472">
        <f>+AE114</f>
        <v>98</v>
      </c>
      <c r="R115" s="471">
        <f>+AI114</f>
        <v>46</v>
      </c>
      <c r="S115" s="471"/>
      <c r="T115" s="473"/>
      <c r="U115" s="474"/>
      <c r="V115" s="475"/>
      <c r="W115" s="476"/>
      <c r="AA115" s="220"/>
      <c r="AB115" s="220"/>
      <c r="AC115" s="308"/>
      <c r="AD115" s="308"/>
      <c r="AE115" s="407"/>
      <c r="AF115" s="407"/>
      <c r="AG115" s="345"/>
      <c r="AH115" s="308"/>
      <c r="AK115" s="312"/>
      <c r="AL115" s="308"/>
      <c r="AP115" s="308"/>
      <c r="AQ115" s="308"/>
      <c r="AR115" s="308"/>
      <c r="AS115" s="308"/>
    </row>
    <row r="116" spans="1:45" ht="24.95" customHeight="1" thickBot="1" x14ac:dyDescent="0.3">
      <c r="A116" s="450"/>
      <c r="B116" s="464"/>
      <c r="C116" s="465"/>
      <c r="D116" s="477"/>
      <c r="E116" s="478"/>
      <c r="F116" s="479"/>
      <c r="G116" s="480"/>
      <c r="H116" s="481"/>
      <c r="I116" s="482"/>
      <c r="J116" s="482"/>
      <c r="K116" s="482"/>
      <c r="L116" s="482"/>
      <c r="M116" s="482"/>
      <c r="N116" s="453" t="s">
        <v>220</v>
      </c>
      <c r="O116" s="454"/>
      <c r="P116" s="483">
        <f>+AC114</f>
        <v>0.15738498789346247</v>
      </c>
      <c r="Q116" s="484">
        <f>+AG114</f>
        <v>0.35379061371841153</v>
      </c>
      <c r="R116" s="485">
        <f>+AK114</f>
        <v>0.16140350877192983</v>
      </c>
      <c r="S116" s="485"/>
      <c r="T116" s="486"/>
      <c r="U116" s="487"/>
      <c r="V116" s="488"/>
      <c r="W116" s="489"/>
      <c r="AA116" s="220"/>
      <c r="AB116" s="220"/>
      <c r="AC116" s="308"/>
      <c r="AD116" s="308"/>
      <c r="AE116" s="407"/>
      <c r="AF116" s="407"/>
      <c r="AG116" s="345"/>
      <c r="AH116" s="308"/>
      <c r="AK116" s="312"/>
      <c r="AL116" s="308"/>
      <c r="AP116" s="308"/>
      <c r="AQ116" s="308"/>
      <c r="AR116" s="308"/>
      <c r="AS116" s="308"/>
    </row>
    <row r="117" spans="1:45" ht="30" customHeight="1" thickBot="1" x14ac:dyDescent="0.3">
      <c r="A117" s="450"/>
      <c r="B117" s="464"/>
      <c r="C117" s="465"/>
      <c r="D117" s="452" t="s">
        <v>352</v>
      </c>
      <c r="E117" s="453" t="s">
        <v>353</v>
      </c>
      <c r="F117" s="454"/>
      <c r="G117" s="455" t="s">
        <v>354</v>
      </c>
      <c r="H117" s="456"/>
      <c r="I117" s="457" t="s">
        <v>25</v>
      </c>
      <c r="J117" s="457" t="s">
        <v>8</v>
      </c>
      <c r="K117" s="457" t="s">
        <v>10</v>
      </c>
      <c r="L117" s="457" t="s">
        <v>12</v>
      </c>
      <c r="M117" s="457" t="s">
        <v>19</v>
      </c>
      <c r="N117" s="458">
        <v>2022</v>
      </c>
      <c r="O117" s="459">
        <v>0.1</v>
      </c>
      <c r="P117" s="459">
        <v>0.1</v>
      </c>
      <c r="Q117" s="459">
        <v>0.1</v>
      </c>
      <c r="R117" s="459">
        <v>0.1</v>
      </c>
      <c r="S117" s="459">
        <v>0.1</v>
      </c>
      <c r="T117" s="460">
        <f>SUM(P118:S118)</f>
        <v>209</v>
      </c>
      <c r="U117" s="461">
        <f>+AS117</f>
        <v>-1.8779342723004744E-2</v>
      </c>
      <c r="V117" s="490" t="s">
        <v>37</v>
      </c>
      <c r="W117" s="463">
        <f t="shared" ref="W117:W123" si="11">+U117/O117-1</f>
        <v>-1.1877934272300474</v>
      </c>
      <c r="AA117" s="220">
        <v>65</v>
      </c>
      <c r="AB117" s="220">
        <v>69</v>
      </c>
      <c r="AC117" s="308">
        <f>((+AA117/AB117)-1)</f>
        <v>-5.7971014492753659E-2</v>
      </c>
      <c r="AD117" s="308"/>
      <c r="AE117" s="431">
        <v>98</v>
      </c>
      <c r="AF117" s="432">
        <v>92</v>
      </c>
      <c r="AG117" s="345">
        <f>((+AE117/AF117)-1)</f>
        <v>6.5217391304347894E-2</v>
      </c>
      <c r="AH117" s="308"/>
      <c r="AI117" s="273">
        <v>46</v>
      </c>
      <c r="AJ117" s="491">
        <v>52</v>
      </c>
      <c r="AK117" s="308">
        <f>+AI117/AJ117-1</f>
        <v>-0.11538461538461542</v>
      </c>
      <c r="AL117" s="308"/>
      <c r="AM117" s="271"/>
      <c r="AN117" s="491"/>
      <c r="AO117" s="317"/>
      <c r="AP117" s="308"/>
      <c r="AQ117" s="220">
        <f>+AA117+AE117+AI117+AM117</f>
        <v>209</v>
      </c>
      <c r="AR117" s="220">
        <f>+AB117+AF117+AJ117+AN117</f>
        <v>213</v>
      </c>
      <c r="AS117" s="434">
        <f>((+AQ117/AR117)-1)</f>
        <v>-1.8779342723004744E-2</v>
      </c>
    </row>
    <row r="118" spans="1:45" ht="30" customHeight="1" thickBot="1" x14ac:dyDescent="0.3">
      <c r="A118" s="450"/>
      <c r="B118" s="464"/>
      <c r="C118" s="465"/>
      <c r="D118" s="465"/>
      <c r="E118" s="466"/>
      <c r="F118" s="467"/>
      <c r="G118" s="468"/>
      <c r="H118" s="469"/>
      <c r="I118" s="470"/>
      <c r="J118" s="470"/>
      <c r="K118" s="470"/>
      <c r="L118" s="470"/>
      <c r="M118" s="470"/>
      <c r="N118" s="453" t="s">
        <v>219</v>
      </c>
      <c r="O118" s="454"/>
      <c r="P118" s="471">
        <f>+AA117</f>
        <v>65</v>
      </c>
      <c r="Q118" s="472">
        <f>+AE117</f>
        <v>98</v>
      </c>
      <c r="R118" s="471">
        <f>+AI117</f>
        <v>46</v>
      </c>
      <c r="S118" s="471"/>
      <c r="T118" s="473"/>
      <c r="U118" s="474"/>
      <c r="V118" s="492"/>
      <c r="W118" s="476"/>
      <c r="AA118" s="220"/>
      <c r="AB118" s="220"/>
      <c r="AC118" s="308"/>
      <c r="AD118" s="308"/>
      <c r="AE118" s="431"/>
      <c r="AF118" s="432"/>
      <c r="AG118" s="345"/>
      <c r="AH118" s="308"/>
      <c r="AK118" s="312"/>
      <c r="AL118" s="308"/>
      <c r="AP118" s="308"/>
      <c r="AQ118" s="308"/>
      <c r="AR118" s="308"/>
      <c r="AS118" s="308"/>
    </row>
    <row r="119" spans="1:45" ht="30" customHeight="1" thickBot="1" x14ac:dyDescent="0.3">
      <c r="A119" s="450"/>
      <c r="B119" s="464"/>
      <c r="C119" s="465"/>
      <c r="D119" s="477"/>
      <c r="E119" s="478"/>
      <c r="F119" s="479"/>
      <c r="G119" s="480"/>
      <c r="H119" s="481"/>
      <c r="I119" s="482"/>
      <c r="J119" s="482"/>
      <c r="K119" s="482"/>
      <c r="L119" s="482"/>
      <c r="M119" s="482"/>
      <c r="N119" s="453" t="s">
        <v>220</v>
      </c>
      <c r="O119" s="454"/>
      <c r="P119" s="483">
        <f>+AC117</f>
        <v>-5.7971014492753659E-2</v>
      </c>
      <c r="Q119" s="484">
        <f>+AG117</f>
        <v>6.5217391304347894E-2</v>
      </c>
      <c r="R119" s="485">
        <f>+AK117</f>
        <v>-0.11538461538461542</v>
      </c>
      <c r="S119" s="485"/>
      <c r="T119" s="486"/>
      <c r="U119" s="487"/>
      <c r="V119" s="493"/>
      <c r="W119" s="489"/>
      <c r="AA119" s="220"/>
      <c r="AB119" s="220"/>
      <c r="AC119" s="308"/>
      <c r="AD119" s="308"/>
      <c r="AE119" s="431"/>
      <c r="AF119" s="432"/>
      <c r="AG119" s="345"/>
      <c r="AH119" s="308"/>
      <c r="AK119" s="312"/>
      <c r="AL119" s="308"/>
      <c r="AP119" s="308"/>
      <c r="AQ119" s="308"/>
      <c r="AR119" s="308"/>
      <c r="AS119" s="308"/>
    </row>
    <row r="120" spans="1:45" ht="24.95" customHeight="1" thickBot="1" x14ac:dyDescent="0.3">
      <c r="A120" s="450"/>
      <c r="B120" s="464"/>
      <c r="C120" s="465"/>
      <c r="D120" s="452" t="s">
        <v>355</v>
      </c>
      <c r="E120" s="453" t="s">
        <v>356</v>
      </c>
      <c r="F120" s="454"/>
      <c r="G120" s="455" t="s">
        <v>357</v>
      </c>
      <c r="H120" s="456"/>
      <c r="I120" s="457" t="s">
        <v>25</v>
      </c>
      <c r="J120" s="457" t="s">
        <v>8</v>
      </c>
      <c r="K120" s="457" t="s">
        <v>10</v>
      </c>
      <c r="L120" s="457" t="s">
        <v>12</v>
      </c>
      <c r="M120" s="457" t="s">
        <v>23</v>
      </c>
      <c r="N120" s="458">
        <v>2022</v>
      </c>
      <c r="O120" s="459">
        <v>0.4</v>
      </c>
      <c r="P120" s="459">
        <v>0.4</v>
      </c>
      <c r="Q120" s="459">
        <v>0.4</v>
      </c>
      <c r="R120" s="459">
        <v>0.4</v>
      </c>
      <c r="S120" s="459">
        <v>0.4</v>
      </c>
      <c r="T120" s="460">
        <f>SUM(P121:S121)</f>
        <v>31</v>
      </c>
      <c r="U120" s="461">
        <f>+AS120</f>
        <v>0.37804878048780488</v>
      </c>
      <c r="V120" s="462" t="s">
        <v>35</v>
      </c>
      <c r="W120" s="463">
        <f t="shared" si="11"/>
        <v>-5.4878048780487854E-2</v>
      </c>
      <c r="AA120" s="220">
        <v>13</v>
      </c>
      <c r="AB120" s="220">
        <v>30</v>
      </c>
      <c r="AC120" s="308">
        <f t="shared" ref="AC120:AC141" si="12">+AA120/AB120</f>
        <v>0.43333333333333335</v>
      </c>
      <c r="AD120" s="308"/>
      <c r="AE120" s="494">
        <v>1</v>
      </c>
      <c r="AF120" s="407">
        <v>26</v>
      </c>
      <c r="AG120" s="345">
        <f t="shared" ref="AG120:AG141" si="13">+AE120/AF120</f>
        <v>3.8461538461538464E-2</v>
      </c>
      <c r="AH120" s="308"/>
      <c r="AI120" s="495">
        <v>17</v>
      </c>
      <c r="AJ120" s="448">
        <v>26</v>
      </c>
      <c r="AK120" s="447">
        <f>+AI120/AJ120</f>
        <v>0.65384615384615385</v>
      </c>
      <c r="AL120" s="308"/>
      <c r="AM120" s="438"/>
      <c r="AN120" s="346"/>
      <c r="AO120" s="317"/>
      <c r="AP120" s="308"/>
      <c r="AQ120" s="220">
        <f>+AA120+AE120+AI120+AM120</f>
        <v>31</v>
      </c>
      <c r="AR120" s="220">
        <f>+AB120+AF120+AJ120+AN120</f>
        <v>82</v>
      </c>
      <c r="AS120" s="235">
        <f>+AQ120/AR120</f>
        <v>0.37804878048780488</v>
      </c>
    </row>
    <row r="121" spans="1:45" ht="24.95" customHeight="1" thickBot="1" x14ac:dyDescent="0.3">
      <c r="A121" s="450"/>
      <c r="B121" s="464"/>
      <c r="C121" s="465"/>
      <c r="D121" s="465"/>
      <c r="E121" s="466"/>
      <c r="F121" s="467"/>
      <c r="G121" s="468"/>
      <c r="H121" s="469"/>
      <c r="I121" s="470"/>
      <c r="J121" s="470"/>
      <c r="K121" s="470"/>
      <c r="L121" s="470"/>
      <c r="M121" s="470"/>
      <c r="N121" s="453" t="s">
        <v>219</v>
      </c>
      <c r="O121" s="454"/>
      <c r="P121" s="471">
        <f>+AA120</f>
        <v>13</v>
      </c>
      <c r="Q121" s="472">
        <f>+AE120</f>
        <v>1</v>
      </c>
      <c r="R121" s="471">
        <f>+AI120</f>
        <v>17</v>
      </c>
      <c r="S121" s="471"/>
      <c r="T121" s="473"/>
      <c r="U121" s="474"/>
      <c r="V121" s="475"/>
      <c r="W121" s="476"/>
      <c r="AA121" s="220"/>
      <c r="AB121" s="220"/>
      <c r="AC121" s="308"/>
      <c r="AD121" s="308"/>
      <c r="AE121" s="494"/>
      <c r="AF121" s="407"/>
      <c r="AG121" s="345"/>
      <c r="AH121" s="308"/>
      <c r="AK121" s="312"/>
      <c r="AL121" s="308"/>
      <c r="AP121" s="308"/>
      <c r="AQ121" s="308"/>
      <c r="AR121" s="308"/>
      <c r="AS121" s="308"/>
    </row>
    <row r="122" spans="1:45" ht="24.95" customHeight="1" thickBot="1" x14ac:dyDescent="0.3">
      <c r="A122" s="450"/>
      <c r="B122" s="496"/>
      <c r="C122" s="477"/>
      <c r="D122" s="477"/>
      <c r="E122" s="478"/>
      <c r="F122" s="479"/>
      <c r="G122" s="480"/>
      <c r="H122" s="481"/>
      <c r="I122" s="482"/>
      <c r="J122" s="482"/>
      <c r="K122" s="482"/>
      <c r="L122" s="482"/>
      <c r="M122" s="482"/>
      <c r="N122" s="453" t="s">
        <v>220</v>
      </c>
      <c r="O122" s="454"/>
      <c r="P122" s="483">
        <f>+AC120</f>
        <v>0.43333333333333335</v>
      </c>
      <c r="Q122" s="484">
        <f>+AG120</f>
        <v>3.8461538461538464E-2</v>
      </c>
      <c r="R122" s="485">
        <f>+AK120</f>
        <v>0.65384615384615385</v>
      </c>
      <c r="S122" s="485"/>
      <c r="T122" s="486"/>
      <c r="U122" s="487"/>
      <c r="V122" s="488"/>
      <c r="W122" s="489"/>
      <c r="AA122" s="220"/>
      <c r="AB122" s="220"/>
      <c r="AC122" s="308"/>
      <c r="AD122" s="308"/>
      <c r="AE122" s="494"/>
      <c r="AF122" s="407"/>
      <c r="AG122" s="345"/>
      <c r="AH122" s="308"/>
      <c r="AK122" s="312"/>
      <c r="AL122" s="308"/>
      <c r="AP122" s="308"/>
      <c r="AQ122" s="308"/>
      <c r="AR122" s="308"/>
      <c r="AS122" s="308"/>
    </row>
    <row r="123" spans="1:45" ht="24.95" customHeight="1" thickBot="1" x14ac:dyDescent="0.3">
      <c r="A123" s="450"/>
      <c r="B123" s="497" t="s">
        <v>358</v>
      </c>
      <c r="C123" s="452" t="s">
        <v>359</v>
      </c>
      <c r="D123" s="452" t="s">
        <v>360</v>
      </c>
      <c r="E123" s="453" t="s">
        <v>361</v>
      </c>
      <c r="F123" s="454"/>
      <c r="G123" s="455" t="s">
        <v>362</v>
      </c>
      <c r="H123" s="456"/>
      <c r="I123" s="457" t="s">
        <v>25</v>
      </c>
      <c r="J123" s="457" t="s">
        <v>8</v>
      </c>
      <c r="K123" s="457" t="s">
        <v>10</v>
      </c>
      <c r="L123" s="457" t="s">
        <v>12</v>
      </c>
      <c r="M123" s="457" t="s">
        <v>23</v>
      </c>
      <c r="N123" s="458">
        <v>2022</v>
      </c>
      <c r="O123" s="459">
        <v>1.1000000000000001</v>
      </c>
      <c r="P123" s="459">
        <v>1.1000000000000001</v>
      </c>
      <c r="Q123" s="459">
        <v>1.1000000000000001</v>
      </c>
      <c r="R123" s="459">
        <v>1.1000000000000001</v>
      </c>
      <c r="S123" s="459">
        <v>1.1000000000000001</v>
      </c>
      <c r="T123" s="460">
        <f>SUM(P124:S124)</f>
        <v>975</v>
      </c>
      <c r="U123" s="461">
        <f>+AS123</f>
        <v>1.0597826086956521</v>
      </c>
      <c r="V123" s="462" t="s">
        <v>35</v>
      </c>
      <c r="W123" s="463">
        <f t="shared" si="11"/>
        <v>-3.6561264822134509E-2</v>
      </c>
      <c r="AA123" s="220">
        <v>413</v>
      </c>
      <c r="AB123" s="220">
        <v>344</v>
      </c>
      <c r="AC123" s="308">
        <f t="shared" si="12"/>
        <v>1.2005813953488371</v>
      </c>
      <c r="AD123" s="308"/>
      <c r="AE123" s="431">
        <v>277</v>
      </c>
      <c r="AF123" s="407">
        <v>280</v>
      </c>
      <c r="AG123" s="345">
        <f t="shared" si="13"/>
        <v>0.98928571428571432</v>
      </c>
      <c r="AH123" s="308"/>
      <c r="AI123" s="498">
        <v>285</v>
      </c>
      <c r="AJ123" s="273">
        <v>296</v>
      </c>
      <c r="AK123" s="447">
        <f>+AI123/AJ123</f>
        <v>0.96283783783783783</v>
      </c>
      <c r="AL123" s="308"/>
      <c r="AM123" s="499"/>
      <c r="AN123" s="500"/>
      <c r="AO123" s="317"/>
      <c r="AP123" s="308"/>
      <c r="AQ123" s="220">
        <f>+AA123+AE123+AI123+AM123</f>
        <v>975</v>
      </c>
      <c r="AR123" s="220">
        <f>+AB123+AF123+AJ123+AN123</f>
        <v>920</v>
      </c>
      <c r="AS123" s="235">
        <f>+AQ123/AR123</f>
        <v>1.0597826086956521</v>
      </c>
    </row>
    <row r="124" spans="1:45" ht="24.95" customHeight="1" thickBot="1" x14ac:dyDescent="0.3">
      <c r="A124" s="450"/>
      <c r="B124" s="501"/>
      <c r="C124" s="465"/>
      <c r="D124" s="465"/>
      <c r="E124" s="466"/>
      <c r="F124" s="467"/>
      <c r="G124" s="468"/>
      <c r="H124" s="469"/>
      <c r="I124" s="470"/>
      <c r="J124" s="470"/>
      <c r="K124" s="470"/>
      <c r="L124" s="470"/>
      <c r="M124" s="470"/>
      <c r="N124" s="453" t="s">
        <v>219</v>
      </c>
      <c r="O124" s="454"/>
      <c r="P124" s="471">
        <f>+AA123</f>
        <v>413</v>
      </c>
      <c r="Q124" s="472">
        <f>+AE123</f>
        <v>277</v>
      </c>
      <c r="R124" s="471">
        <f>+AI123</f>
        <v>285</v>
      </c>
      <c r="S124" s="471"/>
      <c r="T124" s="473"/>
      <c r="U124" s="474"/>
      <c r="V124" s="475"/>
      <c r="W124" s="476"/>
      <c r="AA124" s="220"/>
      <c r="AB124" s="220"/>
      <c r="AC124" s="308"/>
      <c r="AD124" s="308"/>
      <c r="AE124" s="431"/>
      <c r="AF124" s="407"/>
      <c r="AG124" s="345"/>
      <c r="AH124" s="308"/>
      <c r="AK124" s="312"/>
      <c r="AL124" s="308"/>
      <c r="AP124" s="308"/>
      <c r="AQ124" s="308"/>
      <c r="AR124" s="308"/>
      <c r="AS124" s="308"/>
    </row>
    <row r="125" spans="1:45" ht="24.95" customHeight="1" thickBot="1" x14ac:dyDescent="0.3">
      <c r="A125" s="450"/>
      <c r="B125" s="502"/>
      <c r="C125" s="477"/>
      <c r="D125" s="477"/>
      <c r="E125" s="478"/>
      <c r="F125" s="479"/>
      <c r="G125" s="480"/>
      <c r="H125" s="481"/>
      <c r="I125" s="482"/>
      <c r="J125" s="482"/>
      <c r="K125" s="482"/>
      <c r="L125" s="482"/>
      <c r="M125" s="482"/>
      <c r="N125" s="453" t="s">
        <v>220</v>
      </c>
      <c r="O125" s="454"/>
      <c r="P125" s="483">
        <f>+AC123</f>
        <v>1.2005813953488371</v>
      </c>
      <c r="Q125" s="484">
        <f>+AG123</f>
        <v>0.98928571428571432</v>
      </c>
      <c r="R125" s="485">
        <f>+AK123</f>
        <v>0.96283783783783783</v>
      </c>
      <c r="S125" s="485"/>
      <c r="T125" s="486"/>
      <c r="U125" s="487"/>
      <c r="V125" s="488"/>
      <c r="W125" s="489"/>
      <c r="AA125" s="220"/>
      <c r="AB125" s="220"/>
      <c r="AC125" s="308"/>
      <c r="AD125" s="308"/>
      <c r="AE125" s="431"/>
      <c r="AF125" s="407"/>
      <c r="AG125" s="345"/>
      <c r="AH125" s="308"/>
      <c r="AK125" s="312"/>
      <c r="AL125" s="308"/>
      <c r="AP125" s="308"/>
      <c r="AQ125" s="308"/>
      <c r="AR125" s="308"/>
      <c r="AS125" s="308"/>
    </row>
    <row r="126" spans="1:45" ht="24.95" customHeight="1" thickBot="1" x14ac:dyDescent="0.3">
      <c r="A126" s="450"/>
      <c r="B126" s="497" t="s">
        <v>363</v>
      </c>
      <c r="C126" s="452" t="s">
        <v>364</v>
      </c>
      <c r="D126" s="452" t="s">
        <v>365</v>
      </c>
      <c r="E126" s="453" t="s">
        <v>366</v>
      </c>
      <c r="F126" s="454"/>
      <c r="G126" s="455" t="s">
        <v>367</v>
      </c>
      <c r="H126" s="456"/>
      <c r="I126" s="457" t="s">
        <v>25</v>
      </c>
      <c r="J126" s="457" t="s">
        <v>8</v>
      </c>
      <c r="K126" s="457" t="s">
        <v>10</v>
      </c>
      <c r="L126" s="457" t="s">
        <v>12</v>
      </c>
      <c r="M126" s="457" t="s">
        <v>23</v>
      </c>
      <c r="N126" s="458">
        <v>2022</v>
      </c>
      <c r="O126" s="459">
        <v>15</v>
      </c>
      <c r="P126" s="459">
        <v>15</v>
      </c>
      <c r="Q126" s="459">
        <v>15</v>
      </c>
      <c r="R126" s="459">
        <v>15</v>
      </c>
      <c r="S126" s="459">
        <v>15</v>
      </c>
      <c r="T126" s="460">
        <f>SUM(P127:S127)</f>
        <v>14762</v>
      </c>
      <c r="U126" s="461">
        <f>+AS126</f>
        <v>15.14051282051282</v>
      </c>
      <c r="V126" s="462" t="s">
        <v>35</v>
      </c>
      <c r="W126" s="463">
        <f t="shared" ref="W126:W138" si="14">+U126/O126-1</f>
        <v>9.367521367521281E-3</v>
      </c>
      <c r="AA126" s="220">
        <v>4782</v>
      </c>
      <c r="AB126" s="220">
        <v>413</v>
      </c>
      <c r="AC126" s="308">
        <f t="shared" si="12"/>
        <v>11.578692493946731</v>
      </c>
      <c r="AD126" s="308"/>
      <c r="AE126" s="407">
        <v>5609</v>
      </c>
      <c r="AF126" s="431">
        <v>277</v>
      </c>
      <c r="AG126" s="345">
        <f t="shared" si="13"/>
        <v>20.249097472924188</v>
      </c>
      <c r="AH126" s="308"/>
      <c r="AI126" s="448">
        <v>4371</v>
      </c>
      <c r="AJ126" s="273">
        <v>285</v>
      </c>
      <c r="AK126" s="447">
        <f>+AI126/AJ126</f>
        <v>15.336842105263157</v>
      </c>
      <c r="AL126" s="308"/>
      <c r="AM126" s="346"/>
      <c r="AN126" s="271"/>
      <c r="AO126" s="317"/>
      <c r="AP126" s="308"/>
      <c r="AQ126" s="220">
        <f>+AA126+AE126+AI126+AM126</f>
        <v>14762</v>
      </c>
      <c r="AR126" s="220">
        <f>+AB126+AF126+AJ126+AN126</f>
        <v>975</v>
      </c>
      <c r="AS126" s="235">
        <f>+AQ126/AR126</f>
        <v>15.14051282051282</v>
      </c>
    </row>
    <row r="127" spans="1:45" ht="24.95" customHeight="1" thickBot="1" x14ac:dyDescent="0.3">
      <c r="A127" s="450"/>
      <c r="B127" s="501"/>
      <c r="C127" s="465"/>
      <c r="D127" s="465"/>
      <c r="E127" s="466"/>
      <c r="F127" s="467"/>
      <c r="G127" s="468"/>
      <c r="H127" s="469"/>
      <c r="I127" s="470"/>
      <c r="J127" s="470"/>
      <c r="K127" s="470"/>
      <c r="L127" s="470"/>
      <c r="M127" s="470"/>
      <c r="N127" s="453" t="s">
        <v>219</v>
      </c>
      <c r="O127" s="454"/>
      <c r="P127" s="471">
        <f>+AA126</f>
        <v>4782</v>
      </c>
      <c r="Q127" s="472">
        <f>+AE126</f>
        <v>5609</v>
      </c>
      <c r="R127" s="471">
        <f>+AI126</f>
        <v>4371</v>
      </c>
      <c r="S127" s="471"/>
      <c r="T127" s="473"/>
      <c r="U127" s="474"/>
      <c r="V127" s="475"/>
      <c r="W127" s="476"/>
      <c r="AA127" s="220"/>
      <c r="AB127" s="220"/>
      <c r="AC127" s="308"/>
      <c r="AD127" s="308"/>
      <c r="AE127" s="407"/>
      <c r="AF127" s="431"/>
      <c r="AG127" s="345"/>
      <c r="AH127" s="308"/>
      <c r="AK127" s="312"/>
      <c r="AL127" s="308"/>
      <c r="AP127" s="308"/>
      <c r="AQ127" s="308"/>
      <c r="AR127" s="308"/>
      <c r="AS127" s="308"/>
    </row>
    <row r="128" spans="1:45" ht="24.95" customHeight="1" thickBot="1" x14ac:dyDescent="0.3">
      <c r="A128" s="450"/>
      <c r="B128" s="502"/>
      <c r="C128" s="477"/>
      <c r="D128" s="477"/>
      <c r="E128" s="478"/>
      <c r="F128" s="479"/>
      <c r="G128" s="480"/>
      <c r="H128" s="481"/>
      <c r="I128" s="482"/>
      <c r="J128" s="482"/>
      <c r="K128" s="482"/>
      <c r="L128" s="482"/>
      <c r="M128" s="482"/>
      <c r="N128" s="453" t="s">
        <v>220</v>
      </c>
      <c r="O128" s="454"/>
      <c r="P128" s="483">
        <f>+AC126</f>
        <v>11.578692493946731</v>
      </c>
      <c r="Q128" s="484">
        <f>+AG126</f>
        <v>20.249097472924188</v>
      </c>
      <c r="R128" s="485">
        <f>+AK126</f>
        <v>15.336842105263157</v>
      </c>
      <c r="S128" s="485"/>
      <c r="T128" s="486"/>
      <c r="U128" s="487"/>
      <c r="V128" s="488"/>
      <c r="W128" s="489"/>
      <c r="AA128" s="220"/>
      <c r="AB128" s="220"/>
      <c r="AC128" s="308"/>
      <c r="AD128" s="308"/>
      <c r="AE128" s="407"/>
      <c r="AF128" s="431"/>
      <c r="AG128" s="345"/>
      <c r="AH128" s="308"/>
      <c r="AK128" s="312"/>
      <c r="AL128" s="308"/>
      <c r="AP128" s="308"/>
      <c r="AQ128" s="308"/>
      <c r="AR128" s="308"/>
      <c r="AS128" s="308"/>
    </row>
    <row r="129" spans="1:45" ht="24.95" customHeight="1" thickBot="1" x14ac:dyDescent="0.3">
      <c r="A129" s="450"/>
      <c r="B129" s="497" t="s">
        <v>368</v>
      </c>
      <c r="C129" s="452" t="s">
        <v>369</v>
      </c>
      <c r="D129" s="452" t="s">
        <v>370</v>
      </c>
      <c r="E129" s="453" t="s">
        <v>371</v>
      </c>
      <c r="F129" s="454"/>
      <c r="G129" s="455" t="s">
        <v>372</v>
      </c>
      <c r="H129" s="456"/>
      <c r="I129" s="457" t="s">
        <v>25</v>
      </c>
      <c r="J129" s="457" t="s">
        <v>8</v>
      </c>
      <c r="K129" s="457" t="s">
        <v>10</v>
      </c>
      <c r="L129" s="457" t="s">
        <v>12</v>
      </c>
      <c r="M129" s="457" t="s">
        <v>23</v>
      </c>
      <c r="N129" s="458">
        <v>2022</v>
      </c>
      <c r="O129" s="459">
        <v>1</v>
      </c>
      <c r="P129" s="459">
        <v>1</v>
      </c>
      <c r="Q129" s="459">
        <v>1</v>
      </c>
      <c r="R129" s="459">
        <v>1</v>
      </c>
      <c r="S129" s="459">
        <v>1</v>
      </c>
      <c r="T129" s="460">
        <f>SUM(P130:S130)</f>
        <v>1200</v>
      </c>
      <c r="U129" s="461">
        <f>+AS129</f>
        <v>1.2307692307692308</v>
      </c>
      <c r="V129" s="490" t="s">
        <v>37</v>
      </c>
      <c r="W129" s="463">
        <f t="shared" si="14"/>
        <v>0.23076923076923084</v>
      </c>
      <c r="AA129" s="220">
        <v>387</v>
      </c>
      <c r="AB129" s="220">
        <v>413</v>
      </c>
      <c r="AC129" s="308">
        <f t="shared" si="12"/>
        <v>0.93704600484261502</v>
      </c>
      <c r="AD129" s="308"/>
      <c r="AE129" s="407">
        <v>445</v>
      </c>
      <c r="AF129" s="431">
        <v>277</v>
      </c>
      <c r="AG129" s="345">
        <f t="shared" si="13"/>
        <v>1.6064981949458483</v>
      </c>
      <c r="AH129" s="308"/>
      <c r="AI129" s="448">
        <v>368</v>
      </c>
      <c r="AJ129" s="273">
        <v>285</v>
      </c>
      <c r="AK129" s="447">
        <f>+AI129/AJ129</f>
        <v>1.2912280701754386</v>
      </c>
      <c r="AL129" s="308"/>
      <c r="AM129" s="346"/>
      <c r="AN129" s="271"/>
      <c r="AO129" s="317"/>
      <c r="AP129" s="308"/>
      <c r="AQ129" s="220">
        <f>+AA129+AE129+AI129+AM129</f>
        <v>1200</v>
      </c>
      <c r="AR129" s="220">
        <f>+AB129+AF129+AJ129+AN129</f>
        <v>975</v>
      </c>
      <c r="AS129" s="235">
        <f>+AQ129/AR129</f>
        <v>1.2307692307692308</v>
      </c>
    </row>
    <row r="130" spans="1:45" ht="24.95" customHeight="1" thickBot="1" x14ac:dyDescent="0.3">
      <c r="A130" s="450"/>
      <c r="B130" s="501"/>
      <c r="C130" s="465"/>
      <c r="D130" s="465"/>
      <c r="E130" s="466"/>
      <c r="F130" s="467"/>
      <c r="G130" s="468"/>
      <c r="H130" s="469"/>
      <c r="I130" s="470"/>
      <c r="J130" s="470"/>
      <c r="K130" s="470"/>
      <c r="L130" s="470"/>
      <c r="M130" s="470"/>
      <c r="N130" s="453" t="s">
        <v>219</v>
      </c>
      <c r="O130" s="454"/>
      <c r="P130" s="471">
        <f>+AA129</f>
        <v>387</v>
      </c>
      <c r="Q130" s="472">
        <f>+AE129</f>
        <v>445</v>
      </c>
      <c r="R130" s="471">
        <f>+AI129</f>
        <v>368</v>
      </c>
      <c r="S130" s="471"/>
      <c r="T130" s="473"/>
      <c r="U130" s="474"/>
      <c r="V130" s="492"/>
      <c r="W130" s="476"/>
      <c r="AA130" s="220"/>
      <c r="AB130" s="220"/>
      <c r="AC130" s="308"/>
      <c r="AD130" s="308"/>
      <c r="AE130" s="407"/>
      <c r="AF130" s="431"/>
      <c r="AG130" s="345"/>
      <c r="AH130" s="308"/>
      <c r="AK130" s="312"/>
      <c r="AL130" s="308"/>
      <c r="AP130" s="308"/>
      <c r="AQ130" s="308"/>
      <c r="AR130" s="308"/>
      <c r="AS130" s="308"/>
    </row>
    <row r="131" spans="1:45" ht="24.95" customHeight="1" thickBot="1" x14ac:dyDescent="0.3">
      <c r="A131" s="450"/>
      <c r="B131" s="502"/>
      <c r="C131" s="477"/>
      <c r="D131" s="477"/>
      <c r="E131" s="478"/>
      <c r="F131" s="479"/>
      <c r="G131" s="480"/>
      <c r="H131" s="481"/>
      <c r="I131" s="482"/>
      <c r="J131" s="482"/>
      <c r="K131" s="482"/>
      <c r="L131" s="482"/>
      <c r="M131" s="482"/>
      <c r="N131" s="453" t="s">
        <v>220</v>
      </c>
      <c r="O131" s="454"/>
      <c r="P131" s="483">
        <f>+AC129</f>
        <v>0.93704600484261502</v>
      </c>
      <c r="Q131" s="484">
        <f>+AG129</f>
        <v>1.6064981949458483</v>
      </c>
      <c r="R131" s="485">
        <f>+AK129</f>
        <v>1.2912280701754386</v>
      </c>
      <c r="S131" s="485"/>
      <c r="T131" s="486"/>
      <c r="U131" s="487"/>
      <c r="V131" s="493"/>
      <c r="W131" s="489"/>
      <c r="AA131" s="220"/>
      <c r="AB131" s="220"/>
      <c r="AC131" s="308"/>
      <c r="AD131" s="308"/>
      <c r="AE131" s="407"/>
      <c r="AF131" s="431"/>
      <c r="AG131" s="345"/>
      <c r="AH131" s="308"/>
      <c r="AK131" s="312"/>
      <c r="AL131" s="308"/>
      <c r="AP131" s="308"/>
      <c r="AQ131" s="308"/>
      <c r="AR131" s="308"/>
      <c r="AS131" s="308"/>
    </row>
    <row r="132" spans="1:45" ht="24.95" customHeight="1" thickBot="1" x14ac:dyDescent="0.3">
      <c r="A132" s="450"/>
      <c r="B132" s="497" t="s">
        <v>373</v>
      </c>
      <c r="C132" s="452" t="s">
        <v>374</v>
      </c>
      <c r="D132" s="452" t="s">
        <v>375</v>
      </c>
      <c r="E132" s="453" t="s">
        <v>376</v>
      </c>
      <c r="F132" s="454"/>
      <c r="G132" s="455" t="s">
        <v>377</v>
      </c>
      <c r="H132" s="456"/>
      <c r="I132" s="457" t="s">
        <v>25</v>
      </c>
      <c r="J132" s="457" t="s">
        <v>8</v>
      </c>
      <c r="K132" s="457" t="s">
        <v>10</v>
      </c>
      <c r="L132" s="457" t="s">
        <v>79</v>
      </c>
      <c r="M132" s="457" t="s">
        <v>23</v>
      </c>
      <c r="N132" s="458">
        <v>2022</v>
      </c>
      <c r="O132" s="459">
        <v>0.06</v>
      </c>
      <c r="P132" s="459">
        <v>0.06</v>
      </c>
      <c r="Q132" s="459">
        <v>0.06</v>
      </c>
      <c r="R132" s="459">
        <v>0.06</v>
      </c>
      <c r="S132" s="459">
        <v>0.06</v>
      </c>
      <c r="T132" s="460">
        <f>SUM(P133:S133)</f>
        <v>10</v>
      </c>
      <c r="U132" s="461">
        <f>+AS132</f>
        <v>0.12195121951219512</v>
      </c>
      <c r="V132" s="490" t="s">
        <v>37</v>
      </c>
      <c r="W132" s="463">
        <f t="shared" si="14"/>
        <v>1.0325203252032522</v>
      </c>
      <c r="AA132" s="220">
        <v>4</v>
      </c>
      <c r="AB132" s="220">
        <v>30</v>
      </c>
      <c r="AC132" s="308">
        <f t="shared" si="12"/>
        <v>0.13333333333333333</v>
      </c>
      <c r="AD132" s="308"/>
      <c r="AE132" s="494">
        <v>0</v>
      </c>
      <c r="AF132" s="503">
        <v>26</v>
      </c>
      <c r="AG132" s="345">
        <f t="shared" si="13"/>
        <v>0</v>
      </c>
      <c r="AH132" s="308"/>
      <c r="AI132" s="316">
        <v>6</v>
      </c>
      <c r="AJ132" s="273">
        <v>26</v>
      </c>
      <c r="AK132" s="447">
        <f>+AI132/AJ132</f>
        <v>0.23076923076923078</v>
      </c>
      <c r="AL132" s="308"/>
      <c r="AM132" s="439"/>
      <c r="AN132" s="271"/>
      <c r="AO132" s="317"/>
      <c r="AP132" s="308"/>
      <c r="AQ132" s="220">
        <f>+AA132+AE132+AI132+AM132</f>
        <v>10</v>
      </c>
      <c r="AR132" s="220">
        <f>+AB132+AF132+AJ132+AN132</f>
        <v>82</v>
      </c>
      <c r="AS132" s="235">
        <f>+AQ132/AR132</f>
        <v>0.12195121951219512</v>
      </c>
    </row>
    <row r="133" spans="1:45" ht="24.95" customHeight="1" thickBot="1" x14ac:dyDescent="0.3">
      <c r="A133" s="450"/>
      <c r="B133" s="501"/>
      <c r="C133" s="465"/>
      <c r="D133" s="465"/>
      <c r="E133" s="466"/>
      <c r="F133" s="467"/>
      <c r="G133" s="468"/>
      <c r="H133" s="469"/>
      <c r="I133" s="470"/>
      <c r="J133" s="470"/>
      <c r="K133" s="470"/>
      <c r="L133" s="470"/>
      <c r="M133" s="470"/>
      <c r="N133" s="453" t="s">
        <v>219</v>
      </c>
      <c r="O133" s="454"/>
      <c r="P133" s="471">
        <f>+AA132</f>
        <v>4</v>
      </c>
      <c r="Q133" s="472">
        <f>+AE132</f>
        <v>0</v>
      </c>
      <c r="R133" s="471">
        <f>+AI132</f>
        <v>6</v>
      </c>
      <c r="S133" s="471"/>
      <c r="T133" s="473"/>
      <c r="U133" s="474"/>
      <c r="V133" s="492"/>
      <c r="W133" s="476"/>
      <c r="AA133" s="220"/>
      <c r="AB133" s="220"/>
      <c r="AC133" s="308"/>
      <c r="AD133" s="308"/>
      <c r="AE133" s="494"/>
      <c r="AF133" s="503"/>
      <c r="AG133" s="345"/>
      <c r="AH133" s="308"/>
      <c r="AK133" s="312"/>
      <c r="AL133" s="308"/>
      <c r="AP133" s="308"/>
      <c r="AQ133" s="308"/>
      <c r="AR133" s="308"/>
      <c r="AS133" s="308"/>
    </row>
    <row r="134" spans="1:45" ht="24.95" customHeight="1" thickBot="1" x14ac:dyDescent="0.3">
      <c r="A134" s="450"/>
      <c r="B134" s="501"/>
      <c r="C134" s="465"/>
      <c r="D134" s="477"/>
      <c r="E134" s="478"/>
      <c r="F134" s="479"/>
      <c r="G134" s="480"/>
      <c r="H134" s="481"/>
      <c r="I134" s="482"/>
      <c r="J134" s="482"/>
      <c r="K134" s="482"/>
      <c r="L134" s="482"/>
      <c r="M134" s="482"/>
      <c r="N134" s="453" t="s">
        <v>220</v>
      </c>
      <c r="O134" s="454"/>
      <c r="P134" s="483">
        <f>+AC132</f>
        <v>0.13333333333333333</v>
      </c>
      <c r="Q134" s="484">
        <f>+AG132</f>
        <v>0</v>
      </c>
      <c r="R134" s="485">
        <f>+AK132</f>
        <v>0.23076923076923078</v>
      </c>
      <c r="S134" s="485"/>
      <c r="T134" s="486"/>
      <c r="U134" s="487"/>
      <c r="V134" s="493"/>
      <c r="W134" s="489"/>
      <c r="AA134" s="220"/>
      <c r="AB134" s="220"/>
      <c r="AC134" s="308"/>
      <c r="AD134" s="308"/>
      <c r="AE134" s="494"/>
      <c r="AF134" s="503"/>
      <c r="AG134" s="345"/>
      <c r="AH134" s="308"/>
      <c r="AK134" s="312"/>
      <c r="AL134" s="308"/>
      <c r="AP134" s="308"/>
      <c r="AQ134" s="308"/>
      <c r="AR134" s="308"/>
      <c r="AS134" s="308"/>
    </row>
    <row r="135" spans="1:45" ht="24.95" customHeight="1" thickBot="1" x14ac:dyDescent="0.3">
      <c r="A135" s="450"/>
      <c r="B135" s="501"/>
      <c r="C135" s="465"/>
      <c r="D135" s="452" t="s">
        <v>378</v>
      </c>
      <c r="E135" s="453" t="s">
        <v>379</v>
      </c>
      <c r="F135" s="454"/>
      <c r="G135" s="455" t="s">
        <v>380</v>
      </c>
      <c r="H135" s="456"/>
      <c r="I135" s="457" t="s">
        <v>25</v>
      </c>
      <c r="J135" s="457" t="s">
        <v>8</v>
      </c>
      <c r="K135" s="457" t="s">
        <v>10</v>
      </c>
      <c r="L135" s="457" t="s">
        <v>79</v>
      </c>
      <c r="M135" s="457" t="s">
        <v>23</v>
      </c>
      <c r="N135" s="458">
        <v>2022</v>
      </c>
      <c r="O135" s="459">
        <v>0.03</v>
      </c>
      <c r="P135" s="459">
        <v>0.03</v>
      </c>
      <c r="Q135" s="459">
        <v>0.03</v>
      </c>
      <c r="R135" s="459">
        <v>0.03</v>
      </c>
      <c r="S135" s="459">
        <v>0.03</v>
      </c>
      <c r="T135" s="460">
        <f>SUM(P136:S136)</f>
        <v>15</v>
      </c>
      <c r="U135" s="461">
        <f>+AS135</f>
        <v>0.18292682926829268</v>
      </c>
      <c r="V135" s="490" t="s">
        <v>37</v>
      </c>
      <c r="W135" s="463">
        <f t="shared" si="14"/>
        <v>5.0975609756097562</v>
      </c>
      <c r="AA135" s="220">
        <v>8</v>
      </c>
      <c r="AB135" s="220">
        <v>30</v>
      </c>
      <c r="AC135" s="308">
        <f t="shared" si="12"/>
        <v>0.26666666666666666</v>
      </c>
      <c r="AD135" s="308"/>
      <c r="AE135" s="494">
        <v>1</v>
      </c>
      <c r="AF135" s="503">
        <v>26</v>
      </c>
      <c r="AG135" s="345">
        <f t="shared" si="13"/>
        <v>3.8461538461538464E-2</v>
      </c>
      <c r="AH135" s="308"/>
      <c r="AI135" s="316">
        <v>6</v>
      </c>
      <c r="AJ135" s="273">
        <v>26</v>
      </c>
      <c r="AK135" s="447">
        <f>+AI135/AJ135</f>
        <v>0.23076923076923078</v>
      </c>
      <c r="AL135" s="308"/>
      <c r="AM135" s="439"/>
      <c r="AN135" s="271"/>
      <c r="AO135" s="317"/>
      <c r="AP135" s="308"/>
      <c r="AQ135" s="220">
        <f>+AA135+AE135+AI135+AM135</f>
        <v>15</v>
      </c>
      <c r="AR135" s="220">
        <f>+AB135+AF135+AJ135+AN135</f>
        <v>82</v>
      </c>
      <c r="AS135" s="235">
        <f>+AQ135/AR135</f>
        <v>0.18292682926829268</v>
      </c>
    </row>
    <row r="136" spans="1:45" ht="24.95" customHeight="1" thickBot="1" x14ac:dyDescent="0.3">
      <c r="A136" s="450"/>
      <c r="B136" s="501"/>
      <c r="C136" s="465"/>
      <c r="D136" s="465"/>
      <c r="E136" s="466"/>
      <c r="F136" s="467"/>
      <c r="G136" s="468"/>
      <c r="H136" s="469"/>
      <c r="I136" s="470"/>
      <c r="J136" s="470"/>
      <c r="K136" s="470"/>
      <c r="L136" s="470"/>
      <c r="M136" s="470"/>
      <c r="N136" s="453" t="s">
        <v>219</v>
      </c>
      <c r="O136" s="454"/>
      <c r="P136" s="471">
        <f>+AA135</f>
        <v>8</v>
      </c>
      <c r="Q136" s="472">
        <f>+AE135</f>
        <v>1</v>
      </c>
      <c r="R136" s="471">
        <f>+AI135</f>
        <v>6</v>
      </c>
      <c r="S136" s="471"/>
      <c r="T136" s="473"/>
      <c r="U136" s="474"/>
      <c r="V136" s="492"/>
      <c r="W136" s="476"/>
      <c r="AA136" s="220"/>
      <c r="AB136" s="220"/>
      <c r="AC136" s="308"/>
      <c r="AD136" s="308"/>
      <c r="AE136" s="494"/>
      <c r="AF136" s="503"/>
      <c r="AG136" s="345"/>
      <c r="AH136" s="308"/>
      <c r="AK136" s="312"/>
      <c r="AL136" s="308"/>
      <c r="AP136" s="308"/>
      <c r="AQ136" s="308"/>
      <c r="AR136" s="308"/>
      <c r="AS136" s="308"/>
    </row>
    <row r="137" spans="1:45" ht="24.95" customHeight="1" thickBot="1" x14ac:dyDescent="0.3">
      <c r="A137" s="450"/>
      <c r="B137" s="501"/>
      <c r="C137" s="465"/>
      <c r="D137" s="477"/>
      <c r="E137" s="478"/>
      <c r="F137" s="479"/>
      <c r="G137" s="480"/>
      <c r="H137" s="481"/>
      <c r="I137" s="482"/>
      <c r="J137" s="482"/>
      <c r="K137" s="482"/>
      <c r="L137" s="482"/>
      <c r="M137" s="482"/>
      <c r="N137" s="453" t="s">
        <v>220</v>
      </c>
      <c r="O137" s="454"/>
      <c r="P137" s="483">
        <f>+AC135</f>
        <v>0.26666666666666666</v>
      </c>
      <c r="Q137" s="484">
        <f>+AG135</f>
        <v>3.8461538461538464E-2</v>
      </c>
      <c r="R137" s="485">
        <f>+AK135</f>
        <v>0.23076923076923078</v>
      </c>
      <c r="S137" s="485"/>
      <c r="T137" s="486"/>
      <c r="U137" s="487"/>
      <c r="V137" s="493"/>
      <c r="W137" s="489"/>
      <c r="AA137" s="220"/>
      <c r="AB137" s="220"/>
      <c r="AC137" s="308"/>
      <c r="AD137" s="308"/>
      <c r="AE137" s="494"/>
      <c r="AF137" s="503"/>
      <c r="AG137" s="345"/>
      <c r="AH137" s="308"/>
      <c r="AK137" s="312"/>
      <c r="AL137" s="308"/>
      <c r="AP137" s="308"/>
      <c r="AQ137" s="308"/>
      <c r="AR137" s="308"/>
      <c r="AS137" s="308"/>
    </row>
    <row r="138" spans="1:45" ht="24.95" customHeight="1" thickBot="1" x14ac:dyDescent="0.3">
      <c r="A138" s="450"/>
      <c r="B138" s="501"/>
      <c r="C138" s="465"/>
      <c r="D138" s="452" t="s">
        <v>381</v>
      </c>
      <c r="E138" s="453" t="s">
        <v>382</v>
      </c>
      <c r="F138" s="454"/>
      <c r="G138" s="455" t="s">
        <v>383</v>
      </c>
      <c r="H138" s="456"/>
      <c r="I138" s="457" t="s">
        <v>25</v>
      </c>
      <c r="J138" s="457" t="s">
        <v>8</v>
      </c>
      <c r="K138" s="457" t="s">
        <v>10</v>
      </c>
      <c r="L138" s="457" t="s">
        <v>12</v>
      </c>
      <c r="M138" s="457" t="s">
        <v>23</v>
      </c>
      <c r="N138" s="458">
        <v>2022</v>
      </c>
      <c r="O138" s="459">
        <v>0.04</v>
      </c>
      <c r="P138" s="459">
        <v>0.04</v>
      </c>
      <c r="Q138" s="459">
        <v>0.04</v>
      </c>
      <c r="R138" s="459">
        <v>0.04</v>
      </c>
      <c r="S138" s="459">
        <v>0.04</v>
      </c>
      <c r="T138" s="460">
        <f>SUM(P139:S139)</f>
        <v>6</v>
      </c>
      <c r="U138" s="461">
        <f>+AS138</f>
        <v>7.3170731707317069E-2</v>
      </c>
      <c r="V138" s="490" t="s">
        <v>37</v>
      </c>
      <c r="W138" s="463">
        <f t="shared" si="14"/>
        <v>0.82926829268292668</v>
      </c>
      <c r="AA138" s="220">
        <v>1</v>
      </c>
      <c r="AB138" s="220">
        <v>30</v>
      </c>
      <c r="AC138" s="308">
        <f t="shared" si="12"/>
        <v>3.3333333333333333E-2</v>
      </c>
      <c r="AD138" s="308"/>
      <c r="AE138" s="494">
        <v>0</v>
      </c>
      <c r="AF138" s="503">
        <v>26</v>
      </c>
      <c r="AG138" s="345">
        <f t="shared" si="13"/>
        <v>0</v>
      </c>
      <c r="AH138" s="308"/>
      <c r="AI138" s="316">
        <v>5</v>
      </c>
      <c r="AJ138" s="273">
        <v>26</v>
      </c>
      <c r="AK138" s="447">
        <f>+AI138/AJ138</f>
        <v>0.19230769230769232</v>
      </c>
      <c r="AL138" s="308"/>
      <c r="AM138" s="504"/>
      <c r="AN138" s="391"/>
      <c r="AO138" s="392"/>
      <c r="AP138" s="308"/>
      <c r="AQ138" s="220">
        <f>+AA138+AE138+AI138+AM138</f>
        <v>6</v>
      </c>
      <c r="AR138" s="220">
        <f>+AB138+AF138+AJ138+AN138</f>
        <v>82</v>
      </c>
      <c r="AS138" s="235">
        <f>+AQ138/AR138</f>
        <v>7.3170731707317069E-2</v>
      </c>
    </row>
    <row r="139" spans="1:45" ht="24.95" customHeight="1" thickBot="1" x14ac:dyDescent="0.3">
      <c r="A139" s="505"/>
      <c r="B139" s="501"/>
      <c r="C139" s="465"/>
      <c r="D139" s="465"/>
      <c r="E139" s="466"/>
      <c r="F139" s="467"/>
      <c r="G139" s="468"/>
      <c r="H139" s="469"/>
      <c r="I139" s="470"/>
      <c r="J139" s="470"/>
      <c r="K139" s="470"/>
      <c r="L139" s="470"/>
      <c r="M139" s="470"/>
      <c r="N139" s="453" t="s">
        <v>219</v>
      </c>
      <c r="O139" s="454"/>
      <c r="P139" s="471">
        <f>+AA138</f>
        <v>1</v>
      </c>
      <c r="Q139" s="472">
        <f>+AE138</f>
        <v>0</v>
      </c>
      <c r="R139" s="471">
        <f>+AI138</f>
        <v>5</v>
      </c>
      <c r="S139" s="471"/>
      <c r="T139" s="473"/>
      <c r="U139" s="474"/>
      <c r="V139" s="492"/>
      <c r="W139" s="476"/>
      <c r="AA139" s="220"/>
      <c r="AB139" s="220"/>
      <c r="AC139" s="308"/>
      <c r="AD139" s="308"/>
      <c r="AE139" s="494"/>
      <c r="AF139" s="503"/>
      <c r="AG139" s="345"/>
      <c r="AH139" s="308"/>
      <c r="AK139" s="312"/>
      <c r="AL139" s="308"/>
      <c r="AP139" s="308"/>
      <c r="AQ139" s="308"/>
      <c r="AR139" s="308"/>
      <c r="AS139" s="308"/>
    </row>
    <row r="140" spans="1:45" ht="24.95" customHeight="1" thickBot="1" x14ac:dyDescent="0.3">
      <c r="A140" s="505"/>
      <c r="B140" s="502"/>
      <c r="C140" s="477"/>
      <c r="D140" s="477"/>
      <c r="E140" s="478"/>
      <c r="F140" s="479"/>
      <c r="G140" s="480"/>
      <c r="H140" s="481"/>
      <c r="I140" s="482"/>
      <c r="J140" s="482"/>
      <c r="K140" s="482"/>
      <c r="L140" s="482"/>
      <c r="M140" s="482"/>
      <c r="N140" s="453" t="s">
        <v>220</v>
      </c>
      <c r="O140" s="454"/>
      <c r="P140" s="483">
        <f>+AC138</f>
        <v>3.3333333333333333E-2</v>
      </c>
      <c r="Q140" s="484">
        <f>+AG138</f>
        <v>0</v>
      </c>
      <c r="R140" s="485">
        <f>+AK138</f>
        <v>0.19230769230769232</v>
      </c>
      <c r="S140" s="485"/>
      <c r="T140" s="486"/>
      <c r="U140" s="487"/>
      <c r="V140" s="493"/>
      <c r="W140" s="489"/>
      <c r="AA140" s="220"/>
      <c r="AB140" s="220"/>
      <c r="AC140" s="308"/>
      <c r="AD140" s="308"/>
      <c r="AE140" s="494"/>
      <c r="AF140" s="503"/>
      <c r="AG140" s="345"/>
      <c r="AH140" s="308"/>
      <c r="AK140" s="312"/>
      <c r="AL140" s="308"/>
      <c r="AP140" s="308"/>
      <c r="AQ140" s="308"/>
      <c r="AR140" s="308"/>
      <c r="AS140" s="308"/>
    </row>
    <row r="141" spans="1:45" ht="24.95" customHeight="1" thickBot="1" x14ac:dyDescent="0.3">
      <c r="A141" s="506" t="s">
        <v>384</v>
      </c>
      <c r="B141" s="507" t="s">
        <v>385</v>
      </c>
      <c r="C141" s="508" t="s">
        <v>386</v>
      </c>
      <c r="D141" s="508" t="s">
        <v>387</v>
      </c>
      <c r="E141" s="509" t="s">
        <v>388</v>
      </c>
      <c r="F141" s="510"/>
      <c r="G141" s="511" t="s">
        <v>389</v>
      </c>
      <c r="H141" s="512"/>
      <c r="I141" s="513" t="s">
        <v>25</v>
      </c>
      <c r="J141" s="513" t="s">
        <v>8</v>
      </c>
      <c r="K141" s="513" t="s">
        <v>10</v>
      </c>
      <c r="L141" s="513" t="s">
        <v>12</v>
      </c>
      <c r="M141" s="513" t="s">
        <v>23</v>
      </c>
      <c r="N141" s="514">
        <v>2022</v>
      </c>
      <c r="O141" s="515">
        <v>0.17</v>
      </c>
      <c r="P141" s="515">
        <v>0.17</v>
      </c>
      <c r="Q141" s="515">
        <v>0.17</v>
      </c>
      <c r="R141" s="515">
        <v>0.17</v>
      </c>
      <c r="S141" s="515">
        <v>0.17</v>
      </c>
      <c r="T141" s="516">
        <f>SUM(P142:S142)</f>
        <v>67</v>
      </c>
      <c r="U141" s="517">
        <f>+AS141</f>
        <v>0.21202531645569619</v>
      </c>
      <c r="V141" s="518" t="s">
        <v>37</v>
      </c>
      <c r="W141" s="519">
        <f>+U141/O141-1</f>
        <v>0.24720774385703637</v>
      </c>
      <c r="AA141" s="220">
        <v>16</v>
      </c>
      <c r="AB141" s="220">
        <v>83</v>
      </c>
      <c r="AC141" s="308">
        <f t="shared" si="12"/>
        <v>0.19277108433734941</v>
      </c>
      <c r="AD141" s="308"/>
      <c r="AE141" s="520">
        <v>36</v>
      </c>
      <c r="AF141" s="520">
        <v>115</v>
      </c>
      <c r="AG141" s="345">
        <f t="shared" si="13"/>
        <v>0.31304347826086959</v>
      </c>
      <c r="AH141" s="308"/>
      <c r="AI141" s="448">
        <v>15</v>
      </c>
      <c r="AJ141" s="448">
        <v>118</v>
      </c>
      <c r="AK141" s="447">
        <f>+AI141/AJ141</f>
        <v>0.1271186440677966</v>
      </c>
      <c r="AL141" s="308"/>
      <c r="AM141" s="521"/>
      <c r="AN141" s="521"/>
      <c r="AO141" s="317"/>
      <c r="AP141" s="308"/>
      <c r="AQ141" s="220">
        <f>+AA141+AE141+AI141+AM141</f>
        <v>67</v>
      </c>
      <c r="AR141" s="220">
        <f>+AB141+AF141+AJ141+AN141</f>
        <v>316</v>
      </c>
      <c r="AS141" s="235">
        <f>+AQ141/AR141</f>
        <v>0.21202531645569619</v>
      </c>
    </row>
    <row r="142" spans="1:45" ht="24.95" customHeight="1" thickBot="1" x14ac:dyDescent="0.3">
      <c r="A142" s="506"/>
      <c r="B142" s="522"/>
      <c r="C142" s="523"/>
      <c r="D142" s="523"/>
      <c r="E142" s="524"/>
      <c r="F142" s="525"/>
      <c r="G142" s="526"/>
      <c r="H142" s="527"/>
      <c r="I142" s="528"/>
      <c r="J142" s="528"/>
      <c r="K142" s="528"/>
      <c r="L142" s="528"/>
      <c r="M142" s="528"/>
      <c r="N142" s="509" t="s">
        <v>219</v>
      </c>
      <c r="O142" s="510"/>
      <c r="P142" s="529">
        <f>+AA141</f>
        <v>16</v>
      </c>
      <c r="Q142" s="530">
        <f>+AE141</f>
        <v>36</v>
      </c>
      <c r="R142" s="529">
        <f>+AI141</f>
        <v>15</v>
      </c>
      <c r="S142" s="529"/>
      <c r="T142" s="531"/>
      <c r="U142" s="532"/>
      <c r="V142" s="533"/>
      <c r="W142" s="534"/>
      <c r="AA142" s="220"/>
      <c r="AB142" s="220"/>
      <c r="AC142" s="308"/>
      <c r="AD142" s="308"/>
      <c r="AE142" s="520"/>
      <c r="AF142" s="520"/>
      <c r="AG142" s="345"/>
      <c r="AH142" s="308"/>
      <c r="AK142" s="312"/>
      <c r="AL142" s="308"/>
      <c r="AP142" s="308"/>
      <c r="AQ142" s="308"/>
      <c r="AR142" s="308"/>
      <c r="AS142" s="308"/>
    </row>
    <row r="143" spans="1:45" ht="24.95" customHeight="1" thickBot="1" x14ac:dyDescent="0.3">
      <c r="A143" s="506"/>
      <c r="B143" s="522"/>
      <c r="C143" s="523"/>
      <c r="D143" s="535"/>
      <c r="E143" s="536"/>
      <c r="F143" s="537"/>
      <c r="G143" s="538"/>
      <c r="H143" s="539"/>
      <c r="I143" s="540"/>
      <c r="J143" s="540"/>
      <c r="K143" s="540"/>
      <c r="L143" s="540"/>
      <c r="M143" s="540"/>
      <c r="N143" s="509" t="s">
        <v>220</v>
      </c>
      <c r="O143" s="510"/>
      <c r="P143" s="541">
        <f>+AC141</f>
        <v>0.19277108433734941</v>
      </c>
      <c r="Q143" s="542">
        <f>+AG141</f>
        <v>0.31304347826086959</v>
      </c>
      <c r="R143" s="515">
        <f>+AK141</f>
        <v>0.1271186440677966</v>
      </c>
      <c r="S143" s="541"/>
      <c r="T143" s="543"/>
      <c r="U143" s="544"/>
      <c r="V143" s="545"/>
      <c r="W143" s="546"/>
      <c r="AA143" s="220"/>
      <c r="AB143" s="220"/>
      <c r="AC143" s="308"/>
      <c r="AD143" s="308"/>
      <c r="AE143" s="520"/>
      <c r="AF143" s="520"/>
      <c r="AG143" s="345"/>
      <c r="AH143" s="308"/>
      <c r="AK143" s="312"/>
      <c r="AL143" s="308"/>
      <c r="AP143" s="308"/>
      <c r="AQ143" s="308"/>
      <c r="AR143" s="308"/>
      <c r="AS143" s="308"/>
    </row>
    <row r="144" spans="1:45" ht="33" customHeight="1" thickBot="1" x14ac:dyDescent="0.3">
      <c r="A144" s="506"/>
      <c r="B144" s="522"/>
      <c r="C144" s="523"/>
      <c r="D144" s="508" t="s">
        <v>390</v>
      </c>
      <c r="E144" s="509" t="s">
        <v>391</v>
      </c>
      <c r="F144" s="510"/>
      <c r="G144" s="511" t="s">
        <v>392</v>
      </c>
      <c r="H144" s="512"/>
      <c r="I144" s="513" t="s">
        <v>25</v>
      </c>
      <c r="J144" s="513" t="s">
        <v>8</v>
      </c>
      <c r="K144" s="513" t="s">
        <v>10</v>
      </c>
      <c r="L144" s="513" t="s">
        <v>12</v>
      </c>
      <c r="M144" s="513" t="s">
        <v>19</v>
      </c>
      <c r="N144" s="514">
        <v>2022</v>
      </c>
      <c r="O144" s="547">
        <v>0.3</v>
      </c>
      <c r="P144" s="547">
        <v>0.3</v>
      </c>
      <c r="Q144" s="547">
        <v>0.3</v>
      </c>
      <c r="R144" s="547">
        <v>0.3</v>
      </c>
      <c r="S144" s="547">
        <v>0.3</v>
      </c>
      <c r="T144" s="516">
        <f>SUM(P145:S145)</f>
        <v>67</v>
      </c>
      <c r="U144" s="517">
        <f>+AS144</f>
        <v>-8.2191780821917804E-2</v>
      </c>
      <c r="V144" s="518" t="s">
        <v>37</v>
      </c>
      <c r="W144" s="519">
        <f t="shared" ref="W144" si="15">+U144/O144-1</f>
        <v>-1.273972602739726</v>
      </c>
      <c r="AA144" s="220">
        <v>16</v>
      </c>
      <c r="AB144" s="220">
        <v>18</v>
      </c>
      <c r="AC144" s="308">
        <f>((+AA144/AB144)-1)</f>
        <v>-0.11111111111111116</v>
      </c>
      <c r="AD144" s="308"/>
      <c r="AE144" s="548">
        <v>36</v>
      </c>
      <c r="AF144" s="549">
        <v>30</v>
      </c>
      <c r="AG144" s="345">
        <f>((+AE144/AF144)-1)</f>
        <v>0.19999999999999996</v>
      </c>
      <c r="AH144" s="308"/>
      <c r="AI144" s="273">
        <v>15</v>
      </c>
      <c r="AJ144" s="550">
        <v>25</v>
      </c>
      <c r="AK144" s="447">
        <f>+AI144/AJ144-1</f>
        <v>-0.4</v>
      </c>
      <c r="AL144" s="308"/>
      <c r="AM144" s="271"/>
      <c r="AN144" s="550"/>
      <c r="AO144" s="317"/>
      <c r="AP144" s="308"/>
      <c r="AQ144" s="220">
        <f>+AA144+AE144+AI144+AM144</f>
        <v>67</v>
      </c>
      <c r="AR144" s="220">
        <f>+AB144+AF144+AJ144+AN144</f>
        <v>73</v>
      </c>
      <c r="AS144" s="308">
        <f>((+AQ144/AR144)-1)</f>
        <v>-8.2191780821917804E-2</v>
      </c>
    </row>
    <row r="145" spans="1:45" ht="33" customHeight="1" thickBot="1" x14ac:dyDescent="0.3">
      <c r="A145" s="506"/>
      <c r="B145" s="522"/>
      <c r="C145" s="523"/>
      <c r="D145" s="523"/>
      <c r="E145" s="524"/>
      <c r="F145" s="525"/>
      <c r="G145" s="526"/>
      <c r="H145" s="527"/>
      <c r="I145" s="528"/>
      <c r="J145" s="528"/>
      <c r="K145" s="528"/>
      <c r="L145" s="528"/>
      <c r="M145" s="528"/>
      <c r="N145" s="509" t="s">
        <v>219</v>
      </c>
      <c r="O145" s="510"/>
      <c r="P145" s="529">
        <f>+AA144</f>
        <v>16</v>
      </c>
      <c r="Q145" s="530">
        <f>+AE144</f>
        <v>36</v>
      </c>
      <c r="R145" s="529">
        <f>+AI144</f>
        <v>15</v>
      </c>
      <c r="S145" s="529"/>
      <c r="T145" s="531"/>
      <c r="U145" s="532"/>
      <c r="V145" s="533"/>
      <c r="W145" s="534"/>
      <c r="AA145" s="220"/>
      <c r="AB145" s="220"/>
      <c r="AC145" s="308"/>
      <c r="AD145" s="308"/>
      <c r="AE145" s="548"/>
      <c r="AF145" s="549"/>
      <c r="AG145" s="345"/>
      <c r="AH145" s="308"/>
      <c r="AK145" s="312"/>
      <c r="AL145" s="308"/>
      <c r="AP145" s="308"/>
      <c r="AQ145" s="308"/>
      <c r="AR145" s="308"/>
      <c r="AS145" s="308"/>
    </row>
    <row r="146" spans="1:45" ht="33" customHeight="1" thickBot="1" x14ac:dyDescent="0.3">
      <c r="A146" s="506"/>
      <c r="B146" s="522"/>
      <c r="C146" s="523"/>
      <c r="D146" s="535"/>
      <c r="E146" s="536"/>
      <c r="F146" s="537"/>
      <c r="G146" s="538"/>
      <c r="H146" s="539"/>
      <c r="I146" s="540"/>
      <c r="J146" s="540"/>
      <c r="K146" s="540"/>
      <c r="L146" s="540"/>
      <c r="M146" s="540"/>
      <c r="N146" s="509" t="s">
        <v>220</v>
      </c>
      <c r="O146" s="510"/>
      <c r="P146" s="541">
        <f>+AC144</f>
        <v>-0.11111111111111116</v>
      </c>
      <c r="Q146" s="542">
        <f>+AG144</f>
        <v>0.19999999999999996</v>
      </c>
      <c r="R146" s="515">
        <f>+AK144</f>
        <v>-0.4</v>
      </c>
      <c r="S146" s="541"/>
      <c r="T146" s="543"/>
      <c r="U146" s="544"/>
      <c r="V146" s="545"/>
      <c r="W146" s="546"/>
      <c r="AA146" s="220"/>
      <c r="AB146" s="220"/>
      <c r="AC146" s="308"/>
      <c r="AD146" s="308"/>
      <c r="AE146" s="548"/>
      <c r="AF146" s="549"/>
      <c r="AG146" s="345"/>
      <c r="AH146" s="308"/>
      <c r="AK146" s="312"/>
      <c r="AL146" s="308"/>
      <c r="AP146" s="308"/>
      <c r="AQ146" s="308"/>
      <c r="AR146" s="308"/>
      <c r="AS146" s="308"/>
    </row>
    <row r="147" spans="1:45" ht="24.95" customHeight="1" thickBot="1" x14ac:dyDescent="0.3">
      <c r="A147" s="506"/>
      <c r="B147" s="522"/>
      <c r="C147" s="523"/>
      <c r="D147" s="508" t="s">
        <v>393</v>
      </c>
      <c r="E147" s="509" t="s">
        <v>394</v>
      </c>
      <c r="F147" s="510"/>
      <c r="G147" s="511" t="s">
        <v>395</v>
      </c>
      <c r="H147" s="512"/>
      <c r="I147" s="513" t="s">
        <v>25</v>
      </c>
      <c r="J147" s="513" t="s">
        <v>8</v>
      </c>
      <c r="K147" s="513" t="s">
        <v>10</v>
      </c>
      <c r="L147" s="513" t="s">
        <v>12</v>
      </c>
      <c r="M147" s="513" t="s">
        <v>23</v>
      </c>
      <c r="N147" s="514">
        <v>2022</v>
      </c>
      <c r="O147" s="547">
        <v>0.7</v>
      </c>
      <c r="P147" s="547">
        <v>0.7</v>
      </c>
      <c r="Q147" s="547">
        <v>0.7</v>
      </c>
      <c r="R147" s="547">
        <v>0.7</v>
      </c>
      <c r="S147" s="547">
        <v>0.7</v>
      </c>
      <c r="T147" s="516">
        <f>SUM(P148:S148)</f>
        <v>60</v>
      </c>
      <c r="U147" s="517">
        <f>+AS147</f>
        <v>0.81081081081081086</v>
      </c>
      <c r="V147" s="551" t="s">
        <v>36</v>
      </c>
      <c r="W147" s="519">
        <f t="shared" ref="W147" si="16">+U147/O147-1</f>
        <v>0.15830115830115843</v>
      </c>
      <c r="AA147" s="220">
        <v>37</v>
      </c>
      <c r="AB147" s="220">
        <v>45</v>
      </c>
      <c r="AC147" s="308">
        <f t="shared" ref="AC147:AC168" si="17">+AA147/AB147</f>
        <v>0.82222222222222219</v>
      </c>
      <c r="AD147" s="308"/>
      <c r="AE147" s="552">
        <v>12</v>
      </c>
      <c r="AF147" s="520">
        <v>22</v>
      </c>
      <c r="AG147" s="345">
        <f t="shared" ref="AG147:AG168" si="18">+AE147/AF147</f>
        <v>0.54545454545454541</v>
      </c>
      <c r="AH147" s="308"/>
      <c r="AI147" s="553">
        <v>11</v>
      </c>
      <c r="AJ147" s="448">
        <v>7</v>
      </c>
      <c r="AK147" s="447">
        <f>+AI147/AJ147</f>
        <v>1.5714285714285714</v>
      </c>
      <c r="AL147" s="308"/>
      <c r="AM147" s="554"/>
      <c r="AN147" s="521"/>
      <c r="AO147" s="317"/>
      <c r="AP147" s="308"/>
      <c r="AQ147" s="220">
        <f>+AA147+AE147+AI147+AM147</f>
        <v>60</v>
      </c>
      <c r="AR147" s="220">
        <f>+AB147+AF147+AJ147+AN147</f>
        <v>74</v>
      </c>
      <c r="AS147" s="235">
        <f>+AQ147/AR147</f>
        <v>0.81081081081081086</v>
      </c>
    </row>
    <row r="148" spans="1:45" ht="24.95" customHeight="1" thickBot="1" x14ac:dyDescent="0.3">
      <c r="A148" s="506"/>
      <c r="B148" s="522"/>
      <c r="C148" s="523"/>
      <c r="D148" s="523"/>
      <c r="E148" s="524"/>
      <c r="F148" s="525"/>
      <c r="G148" s="526"/>
      <c r="H148" s="527"/>
      <c r="I148" s="528"/>
      <c r="J148" s="528"/>
      <c r="K148" s="528"/>
      <c r="L148" s="528"/>
      <c r="M148" s="528"/>
      <c r="N148" s="509" t="s">
        <v>219</v>
      </c>
      <c r="O148" s="510"/>
      <c r="P148" s="529">
        <f>+AA147</f>
        <v>37</v>
      </c>
      <c r="Q148" s="530">
        <f>+AE147</f>
        <v>12</v>
      </c>
      <c r="R148" s="529">
        <f>+AI147</f>
        <v>11</v>
      </c>
      <c r="S148" s="529"/>
      <c r="T148" s="531"/>
      <c r="U148" s="532"/>
      <c r="V148" s="555"/>
      <c r="W148" s="534"/>
      <c r="AA148" s="220"/>
      <c r="AB148" s="220"/>
      <c r="AC148" s="308"/>
      <c r="AD148" s="308"/>
      <c r="AE148" s="552"/>
      <c r="AF148" s="520"/>
      <c r="AG148" s="345"/>
      <c r="AH148" s="308"/>
      <c r="AK148" s="312"/>
      <c r="AL148" s="308"/>
      <c r="AP148" s="308"/>
      <c r="AQ148" s="308"/>
      <c r="AR148" s="308"/>
      <c r="AS148" s="308"/>
    </row>
    <row r="149" spans="1:45" ht="24.95" customHeight="1" thickBot="1" x14ac:dyDescent="0.3">
      <c r="A149" s="506"/>
      <c r="B149" s="556"/>
      <c r="C149" s="535"/>
      <c r="D149" s="535"/>
      <c r="E149" s="536"/>
      <c r="F149" s="537"/>
      <c r="G149" s="538"/>
      <c r="H149" s="539"/>
      <c r="I149" s="540"/>
      <c r="J149" s="540"/>
      <c r="K149" s="540"/>
      <c r="L149" s="540"/>
      <c r="M149" s="540"/>
      <c r="N149" s="509" t="s">
        <v>220</v>
      </c>
      <c r="O149" s="510"/>
      <c r="P149" s="541">
        <f>+AC147</f>
        <v>0.82222222222222219</v>
      </c>
      <c r="Q149" s="542">
        <f>+AG147</f>
        <v>0.54545454545454541</v>
      </c>
      <c r="R149" s="515">
        <f>+AK147</f>
        <v>1.5714285714285714</v>
      </c>
      <c r="S149" s="541"/>
      <c r="T149" s="543"/>
      <c r="U149" s="544"/>
      <c r="V149" s="557"/>
      <c r="W149" s="546"/>
      <c r="AA149" s="220"/>
      <c r="AB149" s="220"/>
      <c r="AC149" s="308"/>
      <c r="AD149" s="308"/>
      <c r="AE149" s="552"/>
      <c r="AF149" s="520"/>
      <c r="AG149" s="345"/>
      <c r="AH149" s="308"/>
      <c r="AK149" s="312"/>
      <c r="AL149" s="308"/>
      <c r="AP149" s="308"/>
      <c r="AQ149" s="308"/>
      <c r="AR149" s="308"/>
      <c r="AS149" s="308"/>
    </row>
    <row r="150" spans="1:45" ht="24.95" customHeight="1" thickBot="1" x14ac:dyDescent="0.3">
      <c r="A150" s="506"/>
      <c r="B150" s="558" t="s">
        <v>396</v>
      </c>
      <c r="C150" s="508" t="s">
        <v>397</v>
      </c>
      <c r="D150" s="508" t="s">
        <v>398</v>
      </c>
      <c r="E150" s="509" t="s">
        <v>399</v>
      </c>
      <c r="F150" s="510"/>
      <c r="G150" s="511" t="s">
        <v>400</v>
      </c>
      <c r="H150" s="512"/>
      <c r="I150" s="513" t="s">
        <v>25</v>
      </c>
      <c r="J150" s="513" t="s">
        <v>8</v>
      </c>
      <c r="K150" s="513" t="s">
        <v>10</v>
      </c>
      <c r="L150" s="513" t="s">
        <v>12</v>
      </c>
      <c r="M150" s="513" t="s">
        <v>23</v>
      </c>
      <c r="N150" s="514">
        <v>2022</v>
      </c>
      <c r="O150" s="547">
        <v>0.9</v>
      </c>
      <c r="P150" s="547">
        <v>0.9</v>
      </c>
      <c r="Q150" s="547">
        <v>0.9</v>
      </c>
      <c r="R150" s="547">
        <v>0.9</v>
      </c>
      <c r="S150" s="547">
        <v>0.9</v>
      </c>
      <c r="T150" s="516">
        <f>SUM(P151:S151)</f>
        <v>316</v>
      </c>
      <c r="U150" s="517">
        <f>+AS150</f>
        <v>0.8381962864721485</v>
      </c>
      <c r="V150" s="559" t="s">
        <v>35</v>
      </c>
      <c r="W150" s="519">
        <f t="shared" ref="W150" si="19">+U150/O150-1</f>
        <v>-6.8670792808723902E-2</v>
      </c>
      <c r="AA150" s="220">
        <v>83</v>
      </c>
      <c r="AB150" s="220">
        <v>129</v>
      </c>
      <c r="AC150" s="308">
        <f t="shared" si="17"/>
        <v>0.64341085271317833</v>
      </c>
      <c r="AD150" s="308"/>
      <c r="AE150" s="548">
        <v>115</v>
      </c>
      <c r="AF150" s="520">
        <v>125</v>
      </c>
      <c r="AG150" s="345">
        <f t="shared" si="18"/>
        <v>0.92</v>
      </c>
      <c r="AH150" s="308"/>
      <c r="AI150" s="560">
        <v>118</v>
      </c>
      <c r="AJ150" s="448">
        <v>123</v>
      </c>
      <c r="AK150" s="447">
        <f>+AI150/AJ150</f>
        <v>0.95934959349593496</v>
      </c>
      <c r="AL150" s="308"/>
      <c r="AM150" s="561"/>
      <c r="AN150" s="521"/>
      <c r="AO150" s="317"/>
      <c r="AP150" s="308"/>
      <c r="AQ150" s="220">
        <f>+AA150+AE150+AI150+AM150</f>
        <v>316</v>
      </c>
      <c r="AR150" s="220">
        <f>+AB150+AF150+AJ150+AN150</f>
        <v>377</v>
      </c>
      <c r="AS150" s="235">
        <f>+AQ150/AR150</f>
        <v>0.8381962864721485</v>
      </c>
    </row>
    <row r="151" spans="1:45" ht="24.95" customHeight="1" thickBot="1" x14ac:dyDescent="0.3">
      <c r="A151" s="506"/>
      <c r="B151" s="562"/>
      <c r="C151" s="523"/>
      <c r="D151" s="523"/>
      <c r="E151" s="524"/>
      <c r="F151" s="525"/>
      <c r="G151" s="526"/>
      <c r="H151" s="527"/>
      <c r="I151" s="528"/>
      <c r="J151" s="528"/>
      <c r="K151" s="528"/>
      <c r="L151" s="528"/>
      <c r="M151" s="528"/>
      <c r="N151" s="509" t="s">
        <v>219</v>
      </c>
      <c r="O151" s="510"/>
      <c r="P151" s="529">
        <f>+AA150</f>
        <v>83</v>
      </c>
      <c r="Q151" s="530">
        <f>+AE150</f>
        <v>115</v>
      </c>
      <c r="R151" s="529">
        <f>+AI150</f>
        <v>118</v>
      </c>
      <c r="S151" s="529"/>
      <c r="T151" s="531"/>
      <c r="U151" s="532"/>
      <c r="V151" s="563"/>
      <c r="W151" s="534"/>
      <c r="AA151" s="220"/>
      <c r="AB151" s="220"/>
      <c r="AC151" s="308"/>
      <c r="AD151" s="308"/>
      <c r="AE151" s="548"/>
      <c r="AF151" s="520"/>
      <c r="AG151" s="345"/>
      <c r="AH151" s="308"/>
      <c r="AK151" s="312"/>
      <c r="AL151" s="308"/>
      <c r="AP151" s="308"/>
      <c r="AQ151" s="308"/>
      <c r="AR151" s="308"/>
      <c r="AS151" s="308"/>
    </row>
    <row r="152" spans="1:45" ht="24.95" customHeight="1" thickBot="1" x14ac:dyDescent="0.3">
      <c r="A152" s="506"/>
      <c r="B152" s="564"/>
      <c r="C152" s="535"/>
      <c r="D152" s="535"/>
      <c r="E152" s="536"/>
      <c r="F152" s="537"/>
      <c r="G152" s="538"/>
      <c r="H152" s="539"/>
      <c r="I152" s="540"/>
      <c r="J152" s="540"/>
      <c r="K152" s="540"/>
      <c r="L152" s="540"/>
      <c r="M152" s="540"/>
      <c r="N152" s="509" t="s">
        <v>220</v>
      </c>
      <c r="O152" s="510"/>
      <c r="P152" s="541">
        <f>+AC150</f>
        <v>0.64341085271317833</v>
      </c>
      <c r="Q152" s="542">
        <f>+AG150</f>
        <v>0.92</v>
      </c>
      <c r="R152" s="515">
        <f>+AK150</f>
        <v>0.95934959349593496</v>
      </c>
      <c r="S152" s="541"/>
      <c r="T152" s="543"/>
      <c r="U152" s="544"/>
      <c r="V152" s="565"/>
      <c r="W152" s="546"/>
      <c r="AA152" s="220"/>
      <c r="AB152" s="220"/>
      <c r="AC152" s="308"/>
      <c r="AD152" s="308"/>
      <c r="AE152" s="548"/>
      <c r="AF152" s="520"/>
      <c r="AG152" s="345"/>
      <c r="AH152" s="308"/>
      <c r="AK152" s="312"/>
      <c r="AL152" s="308"/>
      <c r="AP152" s="308"/>
      <c r="AQ152" s="308"/>
      <c r="AR152" s="308"/>
      <c r="AS152" s="308"/>
    </row>
    <row r="153" spans="1:45" ht="24.95" customHeight="1" thickBot="1" x14ac:dyDescent="0.3">
      <c r="A153" s="506"/>
      <c r="B153" s="558" t="s">
        <v>401</v>
      </c>
      <c r="C153" s="508" t="s">
        <v>402</v>
      </c>
      <c r="D153" s="508" t="s">
        <v>403</v>
      </c>
      <c r="E153" s="509" t="s">
        <v>404</v>
      </c>
      <c r="F153" s="510"/>
      <c r="G153" s="511" t="s">
        <v>405</v>
      </c>
      <c r="H153" s="512"/>
      <c r="I153" s="513" t="s">
        <v>25</v>
      </c>
      <c r="J153" s="513" t="s">
        <v>8</v>
      </c>
      <c r="K153" s="513" t="s">
        <v>10</v>
      </c>
      <c r="L153" s="513" t="s">
        <v>12</v>
      </c>
      <c r="M153" s="513" t="s">
        <v>23</v>
      </c>
      <c r="N153" s="514">
        <v>2022</v>
      </c>
      <c r="O153" s="547">
        <v>5.2</v>
      </c>
      <c r="P153" s="547">
        <v>5.2</v>
      </c>
      <c r="Q153" s="547">
        <v>5.2</v>
      </c>
      <c r="R153" s="547">
        <v>5.2</v>
      </c>
      <c r="S153" s="547">
        <v>5.2</v>
      </c>
      <c r="T153" s="516">
        <f>SUM(P154:S154)</f>
        <v>2671</v>
      </c>
      <c r="U153" s="517">
        <f>+AS153</f>
        <v>8.4525316455696196</v>
      </c>
      <c r="V153" s="518" t="s">
        <v>37</v>
      </c>
      <c r="W153" s="519">
        <f t="shared" ref="W153" si="20">+U153/O153-1</f>
        <v>0.62548685491723455</v>
      </c>
      <c r="AA153" s="220">
        <v>744</v>
      </c>
      <c r="AB153" s="220">
        <v>83</v>
      </c>
      <c r="AC153" s="308">
        <f t="shared" si="17"/>
        <v>8.9638554216867465</v>
      </c>
      <c r="AD153" s="308"/>
      <c r="AE153" s="520">
        <v>1072</v>
      </c>
      <c r="AF153" s="548">
        <v>115</v>
      </c>
      <c r="AG153" s="345">
        <f t="shared" si="18"/>
        <v>9.3217391304347821</v>
      </c>
      <c r="AH153" s="308"/>
      <c r="AI153" s="448">
        <v>855</v>
      </c>
      <c r="AJ153" s="566">
        <v>118</v>
      </c>
      <c r="AK153" s="447">
        <f>+AI153/AJ153</f>
        <v>7.2457627118644066</v>
      </c>
      <c r="AL153" s="308"/>
      <c r="AM153" s="521"/>
      <c r="AN153" s="567"/>
      <c r="AO153" s="317"/>
      <c r="AP153" s="308"/>
      <c r="AQ153" s="220">
        <f>+AA153+AE153+AI153+AM153</f>
        <v>2671</v>
      </c>
      <c r="AR153" s="220">
        <f>+AB153+AF153+AJ153+AN153</f>
        <v>316</v>
      </c>
      <c r="AS153" s="235">
        <f>+AQ153/AR153</f>
        <v>8.4525316455696196</v>
      </c>
    </row>
    <row r="154" spans="1:45" ht="24.95" customHeight="1" thickBot="1" x14ac:dyDescent="0.3">
      <c r="A154" s="506"/>
      <c r="B154" s="562"/>
      <c r="C154" s="523"/>
      <c r="D154" s="523"/>
      <c r="E154" s="524"/>
      <c r="F154" s="525"/>
      <c r="G154" s="526"/>
      <c r="H154" s="527"/>
      <c r="I154" s="528"/>
      <c r="J154" s="528"/>
      <c r="K154" s="528"/>
      <c r="L154" s="528"/>
      <c r="M154" s="528"/>
      <c r="N154" s="509" t="s">
        <v>219</v>
      </c>
      <c r="O154" s="510"/>
      <c r="P154" s="529">
        <f>+AA153</f>
        <v>744</v>
      </c>
      <c r="Q154" s="530">
        <f>+AE153</f>
        <v>1072</v>
      </c>
      <c r="R154" s="529">
        <f>+AI153</f>
        <v>855</v>
      </c>
      <c r="S154" s="529"/>
      <c r="T154" s="531"/>
      <c r="U154" s="532"/>
      <c r="V154" s="533"/>
      <c r="W154" s="534"/>
      <c r="AA154" s="220"/>
      <c r="AB154" s="220"/>
      <c r="AC154" s="308"/>
      <c r="AD154" s="308"/>
      <c r="AE154" s="520"/>
      <c r="AF154" s="548"/>
      <c r="AG154" s="345"/>
      <c r="AH154" s="308"/>
      <c r="AK154" s="312"/>
      <c r="AL154" s="308"/>
      <c r="AP154" s="308"/>
      <c r="AQ154" s="308"/>
      <c r="AR154" s="308"/>
      <c r="AS154" s="308"/>
    </row>
    <row r="155" spans="1:45" ht="24.95" customHeight="1" thickBot="1" x14ac:dyDescent="0.3">
      <c r="A155" s="506"/>
      <c r="B155" s="564"/>
      <c r="C155" s="535"/>
      <c r="D155" s="535"/>
      <c r="E155" s="536"/>
      <c r="F155" s="537"/>
      <c r="G155" s="538"/>
      <c r="H155" s="539"/>
      <c r="I155" s="540"/>
      <c r="J155" s="540"/>
      <c r="K155" s="540"/>
      <c r="L155" s="540"/>
      <c r="M155" s="540"/>
      <c r="N155" s="509" t="s">
        <v>220</v>
      </c>
      <c r="O155" s="510"/>
      <c r="P155" s="541">
        <f>+AC153</f>
        <v>8.9638554216867465</v>
      </c>
      <c r="Q155" s="542">
        <f>+AG153</f>
        <v>9.3217391304347821</v>
      </c>
      <c r="R155" s="515">
        <f>+AK153</f>
        <v>7.2457627118644066</v>
      </c>
      <c r="S155" s="541"/>
      <c r="T155" s="543"/>
      <c r="U155" s="544"/>
      <c r="V155" s="545"/>
      <c r="W155" s="546"/>
      <c r="AA155" s="220"/>
      <c r="AB155" s="220"/>
      <c r="AC155" s="308"/>
      <c r="AD155" s="308"/>
      <c r="AE155" s="520"/>
      <c r="AF155" s="548"/>
      <c r="AG155" s="345"/>
      <c r="AH155" s="308"/>
      <c r="AK155" s="312"/>
      <c r="AL155" s="308"/>
      <c r="AP155" s="308"/>
      <c r="AQ155" s="308"/>
      <c r="AR155" s="308"/>
      <c r="AS155" s="308"/>
    </row>
    <row r="156" spans="1:45" ht="24.95" customHeight="1" thickBot="1" x14ac:dyDescent="0.3">
      <c r="A156" s="506"/>
      <c r="B156" s="558" t="s">
        <v>406</v>
      </c>
      <c r="C156" s="508" t="s">
        <v>407</v>
      </c>
      <c r="D156" s="508" t="s">
        <v>408</v>
      </c>
      <c r="E156" s="509" t="s">
        <v>409</v>
      </c>
      <c r="F156" s="510"/>
      <c r="G156" s="511" t="s">
        <v>410</v>
      </c>
      <c r="H156" s="512"/>
      <c r="I156" s="513" t="s">
        <v>25</v>
      </c>
      <c r="J156" s="513" t="s">
        <v>8</v>
      </c>
      <c r="K156" s="513" t="s">
        <v>10</v>
      </c>
      <c r="L156" s="513" t="s">
        <v>12</v>
      </c>
      <c r="M156" s="513" t="s">
        <v>23</v>
      </c>
      <c r="N156" s="514">
        <v>2022</v>
      </c>
      <c r="O156" s="547">
        <v>1</v>
      </c>
      <c r="P156" s="547">
        <v>1</v>
      </c>
      <c r="Q156" s="547">
        <v>1</v>
      </c>
      <c r="R156" s="547">
        <v>1</v>
      </c>
      <c r="S156" s="547">
        <v>1</v>
      </c>
      <c r="T156" s="516">
        <f>SUM(P157:S157)</f>
        <v>442</v>
      </c>
      <c r="U156" s="517">
        <f>+AS156</f>
        <v>1.3987341772151898</v>
      </c>
      <c r="V156" s="518" t="s">
        <v>37</v>
      </c>
      <c r="W156" s="519">
        <f t="shared" ref="W156" si="21">+U156/O156-1</f>
        <v>0.39873417721518978</v>
      </c>
      <c r="AA156" s="220">
        <v>149</v>
      </c>
      <c r="AB156" s="220">
        <v>83</v>
      </c>
      <c r="AC156" s="308">
        <f t="shared" si="17"/>
        <v>1.7951807228915662</v>
      </c>
      <c r="AD156" s="308"/>
      <c r="AE156" s="520">
        <v>147</v>
      </c>
      <c r="AF156" s="548">
        <v>115</v>
      </c>
      <c r="AG156" s="345">
        <f t="shared" si="18"/>
        <v>1.2782608695652173</v>
      </c>
      <c r="AH156" s="308"/>
      <c r="AI156" s="448">
        <v>146</v>
      </c>
      <c r="AJ156" s="273">
        <v>118</v>
      </c>
      <c r="AK156" s="447">
        <f>+AI156/AJ156</f>
        <v>1.2372881355932204</v>
      </c>
      <c r="AL156" s="308"/>
      <c r="AM156" s="521"/>
      <c r="AN156" s="271"/>
      <c r="AO156" s="317"/>
      <c r="AP156" s="308"/>
      <c r="AQ156" s="220">
        <f>+AA156+AE156+AI156+AM156</f>
        <v>442</v>
      </c>
      <c r="AR156" s="220">
        <f>+AB156+AF156+AJ156+AN156</f>
        <v>316</v>
      </c>
      <c r="AS156" s="235">
        <f>+AQ156/AR156</f>
        <v>1.3987341772151898</v>
      </c>
    </row>
    <row r="157" spans="1:45" ht="24.95" customHeight="1" thickBot="1" x14ac:dyDescent="0.3">
      <c r="A157" s="506"/>
      <c r="B157" s="562"/>
      <c r="C157" s="523"/>
      <c r="D157" s="523"/>
      <c r="E157" s="524"/>
      <c r="F157" s="525"/>
      <c r="G157" s="526"/>
      <c r="H157" s="527"/>
      <c r="I157" s="528"/>
      <c r="J157" s="528"/>
      <c r="K157" s="528"/>
      <c r="L157" s="528"/>
      <c r="M157" s="528"/>
      <c r="N157" s="509" t="s">
        <v>219</v>
      </c>
      <c r="O157" s="510"/>
      <c r="P157" s="529">
        <f>+AA156</f>
        <v>149</v>
      </c>
      <c r="Q157" s="530">
        <f>+AE156</f>
        <v>147</v>
      </c>
      <c r="R157" s="529">
        <f>+AI156</f>
        <v>146</v>
      </c>
      <c r="S157" s="529"/>
      <c r="T157" s="531"/>
      <c r="U157" s="532"/>
      <c r="V157" s="533"/>
      <c r="W157" s="534"/>
      <c r="AA157" s="220"/>
      <c r="AB157" s="220"/>
      <c r="AC157" s="308"/>
      <c r="AD157" s="308"/>
      <c r="AE157" s="520"/>
      <c r="AF157" s="548"/>
      <c r="AG157" s="345"/>
      <c r="AH157" s="308"/>
      <c r="AK157" s="312"/>
      <c r="AL157" s="308"/>
      <c r="AP157" s="308"/>
      <c r="AQ157" s="308"/>
      <c r="AR157" s="308"/>
      <c r="AS157" s="308"/>
    </row>
    <row r="158" spans="1:45" ht="24.95" customHeight="1" thickBot="1" x14ac:dyDescent="0.3">
      <c r="A158" s="506"/>
      <c r="B158" s="564"/>
      <c r="C158" s="535"/>
      <c r="D158" s="535"/>
      <c r="E158" s="536"/>
      <c r="F158" s="537"/>
      <c r="G158" s="538"/>
      <c r="H158" s="539"/>
      <c r="I158" s="540"/>
      <c r="J158" s="540"/>
      <c r="K158" s="540"/>
      <c r="L158" s="540"/>
      <c r="M158" s="540"/>
      <c r="N158" s="509" t="s">
        <v>220</v>
      </c>
      <c r="O158" s="510"/>
      <c r="P158" s="541">
        <f>+AC156</f>
        <v>1.7951807228915662</v>
      </c>
      <c r="Q158" s="542">
        <f>+AG156</f>
        <v>1.2782608695652173</v>
      </c>
      <c r="R158" s="515">
        <f>+AK156</f>
        <v>1.2372881355932204</v>
      </c>
      <c r="S158" s="541"/>
      <c r="T158" s="543"/>
      <c r="U158" s="544"/>
      <c r="V158" s="545"/>
      <c r="W158" s="546"/>
      <c r="AA158" s="220"/>
      <c r="AB158" s="220"/>
      <c r="AC158" s="308"/>
      <c r="AD158" s="308"/>
      <c r="AE158" s="520"/>
      <c r="AF158" s="548"/>
      <c r="AG158" s="345"/>
      <c r="AH158" s="308"/>
      <c r="AK158" s="312"/>
      <c r="AL158" s="308"/>
      <c r="AP158" s="308"/>
      <c r="AQ158" s="308"/>
      <c r="AR158" s="308"/>
      <c r="AS158" s="308"/>
    </row>
    <row r="159" spans="1:45" ht="24.95" customHeight="1" thickBot="1" x14ac:dyDescent="0.3">
      <c r="A159" s="506"/>
      <c r="B159" s="558" t="s">
        <v>411</v>
      </c>
      <c r="C159" s="508" t="s">
        <v>412</v>
      </c>
      <c r="D159" s="508" t="s">
        <v>413</v>
      </c>
      <c r="E159" s="509" t="s">
        <v>414</v>
      </c>
      <c r="F159" s="510"/>
      <c r="G159" s="511" t="s">
        <v>415</v>
      </c>
      <c r="H159" s="512"/>
      <c r="I159" s="513" t="s">
        <v>25</v>
      </c>
      <c r="J159" s="513" t="s">
        <v>8</v>
      </c>
      <c r="K159" s="513" t="s">
        <v>10</v>
      </c>
      <c r="L159" s="513" t="s">
        <v>79</v>
      </c>
      <c r="M159" s="513" t="s">
        <v>23</v>
      </c>
      <c r="N159" s="514">
        <v>2022</v>
      </c>
      <c r="O159" s="547">
        <v>0.3</v>
      </c>
      <c r="P159" s="547">
        <v>0.3</v>
      </c>
      <c r="Q159" s="547">
        <v>0.3</v>
      </c>
      <c r="R159" s="547">
        <v>0.3</v>
      </c>
      <c r="S159" s="547">
        <v>0.3</v>
      </c>
      <c r="T159" s="516">
        <f>SUM(P160:S160)</f>
        <v>47</v>
      </c>
      <c r="U159" s="517">
        <f>+AS159</f>
        <v>0.63513513513513509</v>
      </c>
      <c r="V159" s="518" t="s">
        <v>37</v>
      </c>
      <c r="W159" s="519">
        <f t="shared" ref="W159" si="22">+U159/O159-1</f>
        <v>1.1171171171171173</v>
      </c>
      <c r="AA159" s="220">
        <v>28</v>
      </c>
      <c r="AB159" s="220">
        <v>45</v>
      </c>
      <c r="AC159" s="308">
        <f t="shared" si="17"/>
        <v>0.62222222222222223</v>
      </c>
      <c r="AD159" s="308"/>
      <c r="AE159" s="520">
        <v>10</v>
      </c>
      <c r="AF159" s="548">
        <v>22</v>
      </c>
      <c r="AG159" s="345">
        <f t="shared" si="18"/>
        <v>0.45454545454545453</v>
      </c>
      <c r="AH159" s="308"/>
      <c r="AI159" s="448">
        <v>9</v>
      </c>
      <c r="AJ159" s="273">
        <v>7</v>
      </c>
      <c r="AK159" s="447">
        <f>+AI159/AJ159</f>
        <v>1.2857142857142858</v>
      </c>
      <c r="AL159" s="308"/>
      <c r="AM159" s="521"/>
      <c r="AN159" s="271"/>
      <c r="AO159" s="317"/>
      <c r="AP159" s="308"/>
      <c r="AQ159" s="220">
        <f>+AA159+AE159+AI159+AM159</f>
        <v>47</v>
      </c>
      <c r="AR159" s="220">
        <f>+AB159+AF159+AJ159+AN159</f>
        <v>74</v>
      </c>
      <c r="AS159" s="235">
        <f>+AQ159/AR159</f>
        <v>0.63513513513513509</v>
      </c>
    </row>
    <row r="160" spans="1:45" ht="24.95" customHeight="1" thickBot="1" x14ac:dyDescent="0.3">
      <c r="A160" s="506"/>
      <c r="B160" s="562"/>
      <c r="C160" s="523"/>
      <c r="D160" s="523"/>
      <c r="E160" s="524"/>
      <c r="F160" s="525"/>
      <c r="G160" s="526"/>
      <c r="H160" s="527"/>
      <c r="I160" s="528"/>
      <c r="J160" s="528"/>
      <c r="K160" s="528"/>
      <c r="L160" s="528"/>
      <c r="M160" s="528"/>
      <c r="N160" s="509" t="s">
        <v>219</v>
      </c>
      <c r="O160" s="510"/>
      <c r="P160" s="529">
        <f>+AA159</f>
        <v>28</v>
      </c>
      <c r="Q160" s="530">
        <f>+AE159</f>
        <v>10</v>
      </c>
      <c r="R160" s="529">
        <f>+AI159</f>
        <v>9</v>
      </c>
      <c r="S160" s="529"/>
      <c r="T160" s="531"/>
      <c r="U160" s="532"/>
      <c r="V160" s="533"/>
      <c r="W160" s="534"/>
      <c r="AA160" s="220"/>
      <c r="AB160" s="220"/>
      <c r="AC160" s="308"/>
      <c r="AD160" s="308"/>
      <c r="AE160" s="520"/>
      <c r="AF160" s="548"/>
      <c r="AG160" s="345"/>
      <c r="AH160" s="308"/>
      <c r="AK160" s="312"/>
      <c r="AL160" s="308"/>
      <c r="AP160" s="308"/>
      <c r="AQ160" s="308"/>
      <c r="AR160" s="308"/>
      <c r="AS160" s="308"/>
    </row>
    <row r="161" spans="1:47" ht="24.95" customHeight="1" thickBot="1" x14ac:dyDescent="0.3">
      <c r="A161" s="506"/>
      <c r="B161" s="562"/>
      <c r="C161" s="523"/>
      <c r="D161" s="535"/>
      <c r="E161" s="536"/>
      <c r="F161" s="537"/>
      <c r="G161" s="538"/>
      <c r="H161" s="539"/>
      <c r="I161" s="540"/>
      <c r="J161" s="540"/>
      <c r="K161" s="540"/>
      <c r="L161" s="540"/>
      <c r="M161" s="540"/>
      <c r="N161" s="509" t="s">
        <v>220</v>
      </c>
      <c r="O161" s="510"/>
      <c r="P161" s="541">
        <f>+AC159</f>
        <v>0.62222222222222223</v>
      </c>
      <c r="Q161" s="542">
        <f>+AG159</f>
        <v>0.45454545454545453</v>
      </c>
      <c r="R161" s="515">
        <f>+AK159</f>
        <v>1.2857142857142858</v>
      </c>
      <c r="S161" s="541"/>
      <c r="T161" s="543"/>
      <c r="U161" s="544"/>
      <c r="V161" s="545"/>
      <c r="W161" s="546"/>
      <c r="AA161" s="220"/>
      <c r="AB161" s="220"/>
      <c r="AC161" s="308"/>
      <c r="AD161" s="308"/>
      <c r="AE161" s="520"/>
      <c r="AF161" s="548"/>
      <c r="AG161" s="345"/>
      <c r="AH161" s="308"/>
      <c r="AK161" s="312"/>
      <c r="AL161" s="308"/>
      <c r="AP161" s="308"/>
      <c r="AQ161" s="308"/>
      <c r="AR161" s="308"/>
      <c r="AS161" s="308"/>
    </row>
    <row r="162" spans="1:47" ht="24.95" customHeight="1" thickBot="1" x14ac:dyDescent="0.3">
      <c r="A162" s="506"/>
      <c r="B162" s="562"/>
      <c r="C162" s="523"/>
      <c r="D162" s="508" t="s">
        <v>416</v>
      </c>
      <c r="E162" s="509" t="s">
        <v>417</v>
      </c>
      <c r="F162" s="510"/>
      <c r="G162" s="511" t="s">
        <v>418</v>
      </c>
      <c r="H162" s="512"/>
      <c r="I162" s="513" t="s">
        <v>25</v>
      </c>
      <c r="J162" s="513" t="s">
        <v>8</v>
      </c>
      <c r="K162" s="513" t="s">
        <v>10</v>
      </c>
      <c r="L162" s="513" t="s">
        <v>79</v>
      </c>
      <c r="M162" s="513" t="s">
        <v>23</v>
      </c>
      <c r="N162" s="514">
        <v>2022</v>
      </c>
      <c r="O162" s="547">
        <v>0.1</v>
      </c>
      <c r="P162" s="547">
        <v>0.1</v>
      </c>
      <c r="Q162" s="547">
        <v>0.1</v>
      </c>
      <c r="R162" s="547">
        <v>0.1</v>
      </c>
      <c r="S162" s="547">
        <v>0.1</v>
      </c>
      <c r="T162" s="516">
        <f>SUM(P163:S163)</f>
        <v>3</v>
      </c>
      <c r="U162" s="517">
        <f>+AS162</f>
        <v>4.0540540540540543E-2</v>
      </c>
      <c r="V162" s="518" t="s">
        <v>37</v>
      </c>
      <c r="W162" s="519">
        <f t="shared" ref="W162" si="23">+U162/O162-1</f>
        <v>-0.59459459459459452</v>
      </c>
      <c r="AA162" s="220">
        <v>3</v>
      </c>
      <c r="AB162" s="220">
        <v>45</v>
      </c>
      <c r="AC162" s="308">
        <f t="shared" si="17"/>
        <v>6.6666666666666666E-2</v>
      </c>
      <c r="AD162" s="308"/>
      <c r="AE162" s="520">
        <v>0</v>
      </c>
      <c r="AF162" s="548">
        <v>22</v>
      </c>
      <c r="AG162" s="345">
        <f t="shared" si="18"/>
        <v>0</v>
      </c>
      <c r="AH162" s="308"/>
      <c r="AI162" s="448">
        <v>0</v>
      </c>
      <c r="AJ162" s="273">
        <v>7</v>
      </c>
      <c r="AK162" s="447">
        <f>+AI162/AJ162</f>
        <v>0</v>
      </c>
      <c r="AL162" s="308"/>
      <c r="AM162" s="521"/>
      <c r="AN162" s="271"/>
      <c r="AO162" s="317"/>
      <c r="AP162" s="308"/>
      <c r="AQ162" s="220">
        <f>+AA162+AE162+AI162+AM162</f>
        <v>3</v>
      </c>
      <c r="AR162" s="220">
        <f>+AB162+AF162+AJ162+AN162</f>
        <v>74</v>
      </c>
      <c r="AS162" s="235">
        <f>+AQ162/AR162</f>
        <v>4.0540540540540543E-2</v>
      </c>
    </row>
    <row r="163" spans="1:47" ht="24.95" customHeight="1" thickBot="1" x14ac:dyDescent="0.3">
      <c r="A163" s="506"/>
      <c r="B163" s="562"/>
      <c r="C163" s="523"/>
      <c r="D163" s="523"/>
      <c r="E163" s="524"/>
      <c r="F163" s="525"/>
      <c r="G163" s="526"/>
      <c r="H163" s="527"/>
      <c r="I163" s="528"/>
      <c r="J163" s="528"/>
      <c r="K163" s="528"/>
      <c r="L163" s="528"/>
      <c r="M163" s="528"/>
      <c r="N163" s="509" t="s">
        <v>219</v>
      </c>
      <c r="O163" s="510"/>
      <c r="P163" s="529">
        <f>+AA162</f>
        <v>3</v>
      </c>
      <c r="Q163" s="530">
        <f>+AE162</f>
        <v>0</v>
      </c>
      <c r="R163" s="529">
        <f>+AI162</f>
        <v>0</v>
      </c>
      <c r="S163" s="529"/>
      <c r="T163" s="531"/>
      <c r="U163" s="532"/>
      <c r="V163" s="533"/>
      <c r="W163" s="534"/>
      <c r="AA163" s="220"/>
      <c r="AB163" s="220"/>
      <c r="AC163" s="308"/>
      <c r="AD163" s="308"/>
      <c r="AE163" s="520"/>
      <c r="AF163" s="548"/>
      <c r="AG163" s="345"/>
      <c r="AH163" s="308"/>
      <c r="AK163" s="312"/>
      <c r="AL163" s="308"/>
      <c r="AP163" s="308"/>
      <c r="AQ163" s="308"/>
      <c r="AR163" s="308"/>
      <c r="AS163" s="308"/>
    </row>
    <row r="164" spans="1:47" ht="24.95" customHeight="1" thickBot="1" x14ac:dyDescent="0.3">
      <c r="A164" s="506"/>
      <c r="B164" s="562"/>
      <c r="C164" s="523"/>
      <c r="D164" s="535"/>
      <c r="E164" s="536"/>
      <c r="F164" s="537"/>
      <c r="G164" s="538"/>
      <c r="H164" s="539"/>
      <c r="I164" s="540"/>
      <c r="J164" s="540"/>
      <c r="K164" s="540"/>
      <c r="L164" s="540"/>
      <c r="M164" s="540"/>
      <c r="N164" s="509" t="s">
        <v>220</v>
      </c>
      <c r="O164" s="510"/>
      <c r="P164" s="541">
        <f>+AC162</f>
        <v>6.6666666666666666E-2</v>
      </c>
      <c r="Q164" s="542">
        <f>+AG162</f>
        <v>0</v>
      </c>
      <c r="R164" s="515">
        <f>+AK162</f>
        <v>0</v>
      </c>
      <c r="S164" s="541"/>
      <c r="T164" s="543"/>
      <c r="U164" s="544"/>
      <c r="V164" s="545"/>
      <c r="W164" s="546"/>
      <c r="AA164" s="220"/>
      <c r="AB164" s="220"/>
      <c r="AC164" s="308"/>
      <c r="AD164" s="308"/>
      <c r="AE164" s="520"/>
      <c r="AF164" s="548"/>
      <c r="AG164" s="345"/>
      <c r="AH164" s="308"/>
      <c r="AK164" s="312"/>
      <c r="AL164" s="308"/>
      <c r="AP164" s="308"/>
      <c r="AQ164" s="308"/>
      <c r="AR164" s="308"/>
      <c r="AS164" s="308"/>
    </row>
    <row r="165" spans="1:47" ht="24.95" customHeight="1" thickBot="1" x14ac:dyDescent="0.3">
      <c r="A165" s="506"/>
      <c r="B165" s="562"/>
      <c r="C165" s="523"/>
      <c r="D165" s="508" t="s">
        <v>419</v>
      </c>
      <c r="E165" s="509" t="s">
        <v>420</v>
      </c>
      <c r="F165" s="510"/>
      <c r="G165" s="511" t="s">
        <v>421</v>
      </c>
      <c r="H165" s="512"/>
      <c r="I165" s="513" t="s">
        <v>25</v>
      </c>
      <c r="J165" s="513" t="s">
        <v>8</v>
      </c>
      <c r="K165" s="513" t="s">
        <v>10</v>
      </c>
      <c r="L165" s="513" t="s">
        <v>12</v>
      </c>
      <c r="M165" s="513" t="s">
        <v>23</v>
      </c>
      <c r="N165" s="514">
        <v>2022</v>
      </c>
      <c r="O165" s="547">
        <v>0.13</v>
      </c>
      <c r="P165" s="547">
        <v>0.13</v>
      </c>
      <c r="Q165" s="547">
        <v>0.13</v>
      </c>
      <c r="R165" s="547">
        <v>0.13</v>
      </c>
      <c r="S165" s="547">
        <v>0.13</v>
      </c>
      <c r="T165" s="516">
        <f>SUM(P166:S166)</f>
        <v>10</v>
      </c>
      <c r="U165" s="517">
        <f>+AS165</f>
        <v>0.13513513513513514</v>
      </c>
      <c r="V165" s="559" t="s">
        <v>35</v>
      </c>
      <c r="W165" s="519">
        <f t="shared" ref="W165:W168" si="24">+U165/O165-1</f>
        <v>3.9501039501039559E-2</v>
      </c>
      <c r="AA165" s="220">
        <v>6</v>
      </c>
      <c r="AB165" s="220">
        <v>45</v>
      </c>
      <c r="AC165" s="308">
        <f t="shared" si="17"/>
        <v>0.13333333333333333</v>
      </c>
      <c r="AD165" s="308"/>
      <c r="AE165" s="520">
        <v>2</v>
      </c>
      <c r="AF165" s="548">
        <v>22</v>
      </c>
      <c r="AG165" s="345">
        <f t="shared" si="18"/>
        <v>9.0909090909090912E-2</v>
      </c>
      <c r="AH165" s="308"/>
      <c r="AI165" s="448">
        <v>2</v>
      </c>
      <c r="AJ165" s="273">
        <v>7</v>
      </c>
      <c r="AK165" s="447">
        <f>+AI165/AJ165</f>
        <v>0.2857142857142857</v>
      </c>
      <c r="AL165" s="308"/>
      <c r="AM165" s="568"/>
      <c r="AN165" s="391"/>
      <c r="AO165" s="392"/>
      <c r="AP165" s="308"/>
      <c r="AQ165" s="220">
        <f>+AA165+AE165+AI165+AM165</f>
        <v>10</v>
      </c>
      <c r="AR165" s="220">
        <f>+AB165+AF165+AJ165+AN165</f>
        <v>74</v>
      </c>
      <c r="AS165" s="235">
        <f>+AQ165/AR165</f>
        <v>0.13513513513513514</v>
      </c>
    </row>
    <row r="166" spans="1:47" ht="24.95" customHeight="1" thickBot="1" x14ac:dyDescent="0.3">
      <c r="A166" s="569"/>
      <c r="B166" s="562"/>
      <c r="C166" s="523"/>
      <c r="D166" s="523"/>
      <c r="E166" s="524"/>
      <c r="F166" s="525"/>
      <c r="G166" s="526"/>
      <c r="H166" s="527"/>
      <c r="I166" s="528"/>
      <c r="J166" s="528"/>
      <c r="K166" s="528"/>
      <c r="L166" s="528"/>
      <c r="M166" s="528"/>
      <c r="N166" s="509" t="s">
        <v>219</v>
      </c>
      <c r="O166" s="510"/>
      <c r="P166" s="529">
        <f>+AA165</f>
        <v>6</v>
      </c>
      <c r="Q166" s="530">
        <f>+AE165</f>
        <v>2</v>
      </c>
      <c r="R166" s="529">
        <f>+AI165</f>
        <v>2</v>
      </c>
      <c r="S166" s="529"/>
      <c r="T166" s="531"/>
      <c r="U166" s="532"/>
      <c r="V166" s="563"/>
      <c r="W166" s="534"/>
      <c r="AA166" s="220"/>
      <c r="AB166" s="220"/>
      <c r="AC166" s="308"/>
      <c r="AD166" s="308"/>
      <c r="AE166" s="520"/>
      <c r="AF166" s="548"/>
      <c r="AG166" s="345"/>
      <c r="AH166" s="308"/>
      <c r="AK166" s="312"/>
      <c r="AL166" s="308"/>
      <c r="AP166" s="308"/>
      <c r="AQ166" s="308"/>
      <c r="AR166" s="308"/>
      <c r="AS166" s="308"/>
    </row>
    <row r="167" spans="1:47" ht="24.95" customHeight="1" thickBot="1" x14ac:dyDescent="0.3">
      <c r="A167" s="569"/>
      <c r="B167" s="564"/>
      <c r="C167" s="535"/>
      <c r="D167" s="535"/>
      <c r="E167" s="536"/>
      <c r="F167" s="537"/>
      <c r="G167" s="538"/>
      <c r="H167" s="539"/>
      <c r="I167" s="540"/>
      <c r="J167" s="540"/>
      <c r="K167" s="540"/>
      <c r="L167" s="540"/>
      <c r="M167" s="540"/>
      <c r="N167" s="509" t="s">
        <v>220</v>
      </c>
      <c r="O167" s="510"/>
      <c r="P167" s="541">
        <f>+AC165</f>
        <v>0.13333333333333333</v>
      </c>
      <c r="Q167" s="542">
        <f>+AG165</f>
        <v>9.0909090909090912E-2</v>
      </c>
      <c r="R167" s="515">
        <f>+AK165</f>
        <v>0.2857142857142857</v>
      </c>
      <c r="S167" s="541"/>
      <c r="T167" s="543"/>
      <c r="U167" s="544"/>
      <c r="V167" s="565"/>
      <c r="W167" s="546"/>
      <c r="AA167" s="220"/>
      <c r="AB167" s="220"/>
      <c r="AC167" s="308"/>
      <c r="AD167" s="308"/>
      <c r="AE167" s="520"/>
      <c r="AF167" s="548"/>
      <c r="AG167" s="345"/>
      <c r="AH167" s="308"/>
      <c r="AK167" s="312"/>
      <c r="AL167" s="308"/>
      <c r="AP167" s="308"/>
      <c r="AQ167" s="308"/>
      <c r="AR167" s="308"/>
      <c r="AS167" s="308"/>
    </row>
    <row r="168" spans="1:47" ht="24.95" customHeight="1" thickBot="1" x14ac:dyDescent="0.3">
      <c r="A168" s="570" t="s">
        <v>422</v>
      </c>
      <c r="B168" s="571" t="s">
        <v>423</v>
      </c>
      <c r="C168" s="572" t="s">
        <v>424</v>
      </c>
      <c r="D168" s="572" t="s">
        <v>425</v>
      </c>
      <c r="E168" s="573" t="s">
        <v>426</v>
      </c>
      <c r="F168" s="574"/>
      <c r="G168" s="575" t="s">
        <v>427</v>
      </c>
      <c r="H168" s="576"/>
      <c r="I168" s="577" t="s">
        <v>25</v>
      </c>
      <c r="J168" s="577" t="s">
        <v>8</v>
      </c>
      <c r="K168" s="577" t="s">
        <v>10</v>
      </c>
      <c r="L168" s="577" t="s">
        <v>12</v>
      </c>
      <c r="M168" s="577" t="s">
        <v>23</v>
      </c>
      <c r="N168" s="578">
        <v>2022</v>
      </c>
      <c r="O168" s="579">
        <v>0.13</v>
      </c>
      <c r="P168" s="579">
        <v>0.13</v>
      </c>
      <c r="Q168" s="579">
        <v>0.13</v>
      </c>
      <c r="R168" s="579">
        <v>0.13</v>
      </c>
      <c r="S168" s="579">
        <v>0.13</v>
      </c>
      <c r="T168" s="580">
        <f>SUM(P169:S169)</f>
        <v>411</v>
      </c>
      <c r="U168" s="581">
        <f>+AS168</f>
        <v>0.15032918800292611</v>
      </c>
      <c r="V168" s="582" t="s">
        <v>36</v>
      </c>
      <c r="W168" s="583">
        <f t="shared" si="24"/>
        <v>0.15637836925327764</v>
      </c>
      <c r="AA168" s="220">
        <v>158</v>
      </c>
      <c r="AB168" s="220">
        <v>1194</v>
      </c>
      <c r="AC168" s="308">
        <f t="shared" si="17"/>
        <v>0.13232830820770519</v>
      </c>
      <c r="AD168" s="308"/>
      <c r="AE168" s="407">
        <v>138</v>
      </c>
      <c r="AF168" s="584">
        <v>813</v>
      </c>
      <c r="AG168" s="345">
        <f t="shared" si="18"/>
        <v>0.16974169741697417</v>
      </c>
      <c r="AH168" s="308"/>
      <c r="AI168" s="448">
        <v>115</v>
      </c>
      <c r="AJ168" s="448">
        <v>727</v>
      </c>
      <c r="AK168" s="447">
        <f>+AI168/AJ168</f>
        <v>0.15818431911966988</v>
      </c>
      <c r="AL168" s="308"/>
      <c r="AM168" s="346"/>
      <c r="AN168" s="521"/>
      <c r="AO168" s="317"/>
      <c r="AP168" s="308"/>
      <c r="AQ168" s="220">
        <f>+AA168+AE168+AI168+AM168</f>
        <v>411</v>
      </c>
      <c r="AR168" s="220">
        <f>+AB168+AF168+AJ168+AN168</f>
        <v>2734</v>
      </c>
      <c r="AS168" s="235">
        <f>+AQ168/AR168</f>
        <v>0.15032918800292611</v>
      </c>
    </row>
    <row r="169" spans="1:47" ht="24.95" customHeight="1" thickBot="1" x14ac:dyDescent="0.3">
      <c r="A169" s="570"/>
      <c r="B169" s="585"/>
      <c r="C169" s="586"/>
      <c r="D169" s="586"/>
      <c r="E169" s="587"/>
      <c r="F169" s="588"/>
      <c r="G169" s="589"/>
      <c r="H169" s="590"/>
      <c r="I169" s="591"/>
      <c r="J169" s="591"/>
      <c r="K169" s="591"/>
      <c r="L169" s="591"/>
      <c r="M169" s="591"/>
      <c r="N169" s="573" t="s">
        <v>219</v>
      </c>
      <c r="O169" s="574"/>
      <c r="P169" s="592">
        <f>+AA168</f>
        <v>158</v>
      </c>
      <c r="Q169" s="593">
        <f>+AE168</f>
        <v>138</v>
      </c>
      <c r="R169" s="592">
        <f>+AI168</f>
        <v>115</v>
      </c>
      <c r="S169" s="592"/>
      <c r="T169" s="594"/>
      <c r="U169" s="595"/>
      <c r="V169" s="596"/>
      <c r="W169" s="597"/>
      <c r="AA169" s="220"/>
      <c r="AB169" s="220"/>
      <c r="AC169" s="308"/>
      <c r="AD169" s="308"/>
      <c r="AE169" s="407"/>
      <c r="AF169" s="584"/>
      <c r="AG169" s="345"/>
      <c r="AH169" s="308"/>
      <c r="AK169" s="312"/>
      <c r="AL169" s="308"/>
      <c r="AP169" s="308"/>
      <c r="AQ169" s="308"/>
      <c r="AR169" s="308"/>
      <c r="AS169" s="308"/>
    </row>
    <row r="170" spans="1:47" ht="24.95" customHeight="1" thickBot="1" x14ac:dyDescent="0.3">
      <c r="A170" s="570"/>
      <c r="B170" s="585"/>
      <c r="C170" s="586"/>
      <c r="D170" s="598"/>
      <c r="E170" s="599"/>
      <c r="F170" s="600"/>
      <c r="G170" s="601"/>
      <c r="H170" s="602"/>
      <c r="I170" s="603"/>
      <c r="J170" s="603"/>
      <c r="K170" s="603"/>
      <c r="L170" s="603"/>
      <c r="M170" s="603"/>
      <c r="N170" s="573" t="s">
        <v>220</v>
      </c>
      <c r="O170" s="574"/>
      <c r="P170" s="604">
        <f>+AC168</f>
        <v>0.13232830820770519</v>
      </c>
      <c r="Q170" s="605">
        <f>+AG168</f>
        <v>0.16974169741697417</v>
      </c>
      <c r="R170" s="606">
        <f>+AK168</f>
        <v>0.15818431911966988</v>
      </c>
      <c r="S170" s="606"/>
      <c r="T170" s="607"/>
      <c r="U170" s="608"/>
      <c r="V170" s="609"/>
      <c r="W170" s="610"/>
      <c r="AA170" s="220"/>
      <c r="AB170" s="220"/>
      <c r="AC170" s="308"/>
      <c r="AD170" s="308"/>
      <c r="AE170" s="407"/>
      <c r="AF170" s="584"/>
      <c r="AG170" s="345"/>
      <c r="AH170" s="308"/>
      <c r="AK170" s="312"/>
      <c r="AL170" s="308"/>
      <c r="AP170" s="308"/>
      <c r="AQ170" s="308"/>
      <c r="AR170" s="308"/>
      <c r="AS170" s="308"/>
    </row>
    <row r="171" spans="1:47" ht="33" customHeight="1" thickBot="1" x14ac:dyDescent="0.3">
      <c r="A171" s="570"/>
      <c r="B171" s="585"/>
      <c r="C171" s="586"/>
      <c r="D171" s="572" t="s">
        <v>428</v>
      </c>
      <c r="E171" s="573" t="s">
        <v>429</v>
      </c>
      <c r="F171" s="574"/>
      <c r="G171" s="575" t="s">
        <v>430</v>
      </c>
      <c r="H171" s="576"/>
      <c r="I171" s="577" t="s">
        <v>25</v>
      </c>
      <c r="J171" s="577" t="s">
        <v>8</v>
      </c>
      <c r="K171" s="577" t="s">
        <v>10</v>
      </c>
      <c r="L171" s="577" t="s">
        <v>12</v>
      </c>
      <c r="M171" s="577" t="s">
        <v>19</v>
      </c>
      <c r="N171" s="578">
        <v>2022</v>
      </c>
      <c r="O171" s="579">
        <v>0.15</v>
      </c>
      <c r="P171" s="579">
        <v>0.15</v>
      </c>
      <c r="Q171" s="579">
        <v>0.15</v>
      </c>
      <c r="R171" s="579">
        <v>0.15</v>
      </c>
      <c r="S171" s="579">
        <v>0.15</v>
      </c>
      <c r="T171" s="580">
        <f>SUM(P172:S172)</f>
        <v>411</v>
      </c>
      <c r="U171" s="581">
        <f>+AS171</f>
        <v>-0.16463414634146345</v>
      </c>
      <c r="V171" s="611" t="s">
        <v>37</v>
      </c>
      <c r="W171" s="583">
        <f t="shared" ref="W171:W192" si="25">+U171/O171-1</f>
        <v>-2.0975609756097562</v>
      </c>
      <c r="AA171" s="220">
        <v>158</v>
      </c>
      <c r="AB171" s="220">
        <v>167</v>
      </c>
      <c r="AC171" s="308">
        <f>((+AA171/AB171)-1)</f>
        <v>-5.3892215568862256E-2</v>
      </c>
      <c r="AD171" s="308"/>
      <c r="AE171" s="431">
        <v>138</v>
      </c>
      <c r="AF171" s="432">
        <v>199</v>
      </c>
      <c r="AG171" s="345">
        <f>((+AE171/AF171)-1)</f>
        <v>-0.30653266331658291</v>
      </c>
      <c r="AH171" s="308"/>
      <c r="AI171" s="273">
        <v>115</v>
      </c>
      <c r="AJ171" s="491">
        <v>126</v>
      </c>
      <c r="AK171" s="447">
        <f>+AI171/AJ171-1</f>
        <v>-8.7301587301587324E-2</v>
      </c>
      <c r="AL171" s="308"/>
      <c r="AM171" s="271"/>
      <c r="AN171" s="491"/>
      <c r="AO171" s="317"/>
      <c r="AP171" s="308"/>
      <c r="AQ171" s="220">
        <f>+AA171+AE171+AI171+AM171</f>
        <v>411</v>
      </c>
      <c r="AR171" s="220">
        <f>+AB171+AF171+AJ171+AN171</f>
        <v>492</v>
      </c>
      <c r="AS171" s="308">
        <f>((+AQ171/AR171)-1)</f>
        <v>-0.16463414634146345</v>
      </c>
    </row>
    <row r="172" spans="1:47" ht="33" customHeight="1" thickBot="1" x14ac:dyDescent="0.3">
      <c r="A172" s="570"/>
      <c r="B172" s="585"/>
      <c r="C172" s="586"/>
      <c r="D172" s="586"/>
      <c r="E172" s="587"/>
      <c r="F172" s="588"/>
      <c r="G172" s="589"/>
      <c r="H172" s="590"/>
      <c r="I172" s="591"/>
      <c r="J172" s="591"/>
      <c r="K172" s="591"/>
      <c r="L172" s="591"/>
      <c r="M172" s="591"/>
      <c r="N172" s="573" t="s">
        <v>219</v>
      </c>
      <c r="O172" s="574"/>
      <c r="P172" s="592">
        <f>+AA171</f>
        <v>158</v>
      </c>
      <c r="Q172" s="593">
        <f>+AE171</f>
        <v>138</v>
      </c>
      <c r="R172" s="592">
        <f>+AI171</f>
        <v>115</v>
      </c>
      <c r="S172" s="592"/>
      <c r="T172" s="594"/>
      <c r="U172" s="595"/>
      <c r="V172" s="612"/>
      <c r="W172" s="597"/>
      <c r="AA172" s="220"/>
      <c r="AB172" s="220"/>
      <c r="AC172" s="308"/>
      <c r="AD172" s="308"/>
      <c r="AE172" s="431"/>
      <c r="AF172" s="432"/>
      <c r="AG172" s="345"/>
      <c r="AH172" s="308"/>
      <c r="AK172" s="312"/>
      <c r="AL172" s="308"/>
      <c r="AP172" s="308"/>
      <c r="AQ172" s="308"/>
      <c r="AR172" s="308"/>
      <c r="AS172" s="308"/>
    </row>
    <row r="173" spans="1:47" ht="33" customHeight="1" thickBot="1" x14ac:dyDescent="0.3">
      <c r="A173" s="570"/>
      <c r="B173" s="585"/>
      <c r="C173" s="586"/>
      <c r="D173" s="598"/>
      <c r="E173" s="599"/>
      <c r="F173" s="600"/>
      <c r="G173" s="601"/>
      <c r="H173" s="602"/>
      <c r="I173" s="603"/>
      <c r="J173" s="603"/>
      <c r="K173" s="603"/>
      <c r="L173" s="603"/>
      <c r="M173" s="603"/>
      <c r="N173" s="573" t="s">
        <v>220</v>
      </c>
      <c r="O173" s="574"/>
      <c r="P173" s="604">
        <f>+AC171</f>
        <v>-5.3892215568862256E-2</v>
      </c>
      <c r="Q173" s="605">
        <f>+AG171</f>
        <v>-0.30653266331658291</v>
      </c>
      <c r="R173" s="606">
        <f>+AK171</f>
        <v>-8.7301587301587324E-2</v>
      </c>
      <c r="S173" s="606"/>
      <c r="T173" s="607"/>
      <c r="U173" s="608"/>
      <c r="V173" s="613"/>
      <c r="W173" s="610"/>
      <c r="AA173" s="220"/>
      <c r="AB173" s="220"/>
      <c r="AC173" s="308"/>
      <c r="AD173" s="308"/>
      <c r="AE173" s="431"/>
      <c r="AF173" s="432"/>
      <c r="AG173" s="345"/>
      <c r="AH173" s="308"/>
      <c r="AK173" s="312"/>
      <c r="AL173" s="308"/>
      <c r="AP173" s="308"/>
      <c r="AQ173" s="308"/>
      <c r="AR173" s="308"/>
      <c r="AS173" s="308"/>
    </row>
    <row r="174" spans="1:47" ht="24.95" customHeight="1" thickBot="1" x14ac:dyDescent="0.3">
      <c r="A174" s="570"/>
      <c r="B174" s="585"/>
      <c r="C174" s="586"/>
      <c r="D174" s="572" t="s">
        <v>431</v>
      </c>
      <c r="E174" s="573" t="s">
        <v>432</v>
      </c>
      <c r="F174" s="574"/>
      <c r="G174" s="575" t="s">
        <v>433</v>
      </c>
      <c r="H174" s="576"/>
      <c r="I174" s="577" t="s">
        <v>25</v>
      </c>
      <c r="J174" s="577" t="s">
        <v>8</v>
      </c>
      <c r="K174" s="577" t="s">
        <v>10</v>
      </c>
      <c r="L174" s="577" t="s">
        <v>12</v>
      </c>
      <c r="M174" s="577" t="s">
        <v>23</v>
      </c>
      <c r="N174" s="578">
        <v>2022</v>
      </c>
      <c r="O174" s="579">
        <v>0.45</v>
      </c>
      <c r="P174" s="579">
        <v>0.45</v>
      </c>
      <c r="Q174" s="579">
        <v>0.45</v>
      </c>
      <c r="R174" s="579">
        <v>0.45</v>
      </c>
      <c r="S174" s="579">
        <v>0.45</v>
      </c>
      <c r="T174" s="580">
        <f>SUM(P175:S175)</f>
        <v>211</v>
      </c>
      <c r="U174" s="581">
        <f>+AS174</f>
        <v>0.64525993883792054</v>
      </c>
      <c r="V174" s="611" t="s">
        <v>37</v>
      </c>
      <c r="W174" s="583">
        <f t="shared" si="25"/>
        <v>0.43391097519537891</v>
      </c>
      <c r="AA174" s="220">
        <v>66</v>
      </c>
      <c r="AB174" s="220">
        <v>122</v>
      </c>
      <c r="AC174" s="308">
        <f t="shared" ref="AC174:AC192" si="26">+AA174/AB174</f>
        <v>0.54098360655737709</v>
      </c>
      <c r="AD174" s="308"/>
      <c r="AE174" s="494">
        <v>66</v>
      </c>
      <c r="AF174" s="614">
        <v>121</v>
      </c>
      <c r="AG174" s="345">
        <f t="shared" ref="AG174:AG192" si="27">+AE174/AF174</f>
        <v>0.54545454545454541</v>
      </c>
      <c r="AH174" s="308"/>
      <c r="AI174" s="495">
        <v>79</v>
      </c>
      <c r="AJ174" s="448">
        <v>84</v>
      </c>
      <c r="AK174" s="447">
        <f>+AI174/AJ174</f>
        <v>0.94047619047619047</v>
      </c>
      <c r="AL174" s="308"/>
      <c r="AM174" s="438"/>
      <c r="AN174" s="346"/>
      <c r="AO174" s="317"/>
      <c r="AP174" s="308"/>
      <c r="AQ174" s="220">
        <f>+AA174+AE174+AI174+AM174</f>
        <v>211</v>
      </c>
      <c r="AR174" s="220">
        <f>+AB174+AF174+AJ174+AN174</f>
        <v>327</v>
      </c>
      <c r="AS174" s="235">
        <f>+AQ174/AR174</f>
        <v>0.64525993883792054</v>
      </c>
      <c r="AU174" t="s">
        <v>434</v>
      </c>
    </row>
    <row r="175" spans="1:47" ht="24.95" customHeight="1" thickBot="1" x14ac:dyDescent="0.3">
      <c r="A175" s="570"/>
      <c r="B175" s="585"/>
      <c r="C175" s="586"/>
      <c r="D175" s="586"/>
      <c r="E175" s="587"/>
      <c r="F175" s="588"/>
      <c r="G175" s="589"/>
      <c r="H175" s="590"/>
      <c r="I175" s="591"/>
      <c r="J175" s="591"/>
      <c r="K175" s="591"/>
      <c r="L175" s="591"/>
      <c r="M175" s="591"/>
      <c r="N175" s="573" t="s">
        <v>219</v>
      </c>
      <c r="O175" s="574"/>
      <c r="P175" s="592">
        <f>+AA174</f>
        <v>66</v>
      </c>
      <c r="Q175" s="593">
        <f>+AE174</f>
        <v>66</v>
      </c>
      <c r="R175" s="592">
        <f>+AI174</f>
        <v>79</v>
      </c>
      <c r="S175" s="592"/>
      <c r="T175" s="594"/>
      <c r="U175" s="595"/>
      <c r="V175" s="612"/>
      <c r="W175" s="597"/>
      <c r="AA175" s="220"/>
      <c r="AB175" s="220"/>
      <c r="AC175" s="308"/>
      <c r="AD175" s="308"/>
      <c r="AE175" s="494"/>
      <c r="AF175" s="614"/>
      <c r="AG175" s="345"/>
      <c r="AH175" s="308"/>
      <c r="AK175" s="312"/>
      <c r="AL175" s="308"/>
      <c r="AP175" s="308"/>
      <c r="AQ175" s="308"/>
      <c r="AR175" s="308"/>
      <c r="AS175" s="308"/>
    </row>
    <row r="176" spans="1:47" ht="24.95" customHeight="1" thickBot="1" x14ac:dyDescent="0.3">
      <c r="A176" s="570"/>
      <c r="B176" s="615"/>
      <c r="C176" s="598"/>
      <c r="D176" s="598"/>
      <c r="E176" s="599"/>
      <c r="F176" s="600"/>
      <c r="G176" s="601"/>
      <c r="H176" s="602"/>
      <c r="I176" s="603"/>
      <c r="J176" s="603"/>
      <c r="K176" s="603"/>
      <c r="L176" s="603"/>
      <c r="M176" s="603"/>
      <c r="N176" s="573" t="s">
        <v>220</v>
      </c>
      <c r="O176" s="574"/>
      <c r="P176" s="604">
        <f>+AC174</f>
        <v>0.54098360655737709</v>
      </c>
      <c r="Q176" s="605">
        <f>+AG174</f>
        <v>0.54545454545454541</v>
      </c>
      <c r="R176" s="606">
        <f>+AK174</f>
        <v>0.94047619047619047</v>
      </c>
      <c r="S176" s="606"/>
      <c r="T176" s="607"/>
      <c r="U176" s="608"/>
      <c r="V176" s="613"/>
      <c r="W176" s="610"/>
      <c r="AA176" s="220"/>
      <c r="AB176" s="220"/>
      <c r="AC176" s="308"/>
      <c r="AD176" s="308"/>
      <c r="AE176" s="494"/>
      <c r="AF176" s="614"/>
      <c r="AG176" s="345"/>
      <c r="AH176" s="308"/>
      <c r="AK176" s="312"/>
      <c r="AL176" s="308"/>
      <c r="AP176" s="308"/>
      <c r="AQ176" s="308"/>
      <c r="AR176" s="308"/>
      <c r="AS176" s="308"/>
    </row>
    <row r="177" spans="1:45" ht="24.95" customHeight="1" thickBot="1" x14ac:dyDescent="0.3">
      <c r="A177" s="570"/>
      <c r="B177" s="616" t="s">
        <v>435</v>
      </c>
      <c r="C177" s="572" t="s">
        <v>436</v>
      </c>
      <c r="D177" s="572" t="s">
        <v>437</v>
      </c>
      <c r="E177" s="573" t="s">
        <v>438</v>
      </c>
      <c r="F177" s="574"/>
      <c r="G177" s="575" t="s">
        <v>439</v>
      </c>
      <c r="H177" s="576"/>
      <c r="I177" s="577" t="s">
        <v>25</v>
      </c>
      <c r="J177" s="577" t="s">
        <v>8</v>
      </c>
      <c r="K177" s="577" t="s">
        <v>10</v>
      </c>
      <c r="L177" s="577" t="s">
        <v>12</v>
      </c>
      <c r="M177" s="577" t="s">
        <v>23</v>
      </c>
      <c r="N177" s="578">
        <v>2022</v>
      </c>
      <c r="O177" s="579">
        <v>1.1000000000000001</v>
      </c>
      <c r="P177" s="579">
        <v>1.1000000000000001</v>
      </c>
      <c r="Q177" s="579">
        <v>1.1000000000000001</v>
      </c>
      <c r="R177" s="579">
        <v>1.1000000000000001</v>
      </c>
      <c r="S177" s="579">
        <v>1.1000000000000001</v>
      </c>
      <c r="T177" s="580">
        <f>SUM(P178:S178)</f>
        <v>2734</v>
      </c>
      <c r="U177" s="581">
        <f>+AS177</f>
        <v>0.99418181818181817</v>
      </c>
      <c r="V177" s="617" t="s">
        <v>35</v>
      </c>
      <c r="W177" s="583">
        <f t="shared" si="25"/>
        <v>-9.6198347107438131E-2</v>
      </c>
      <c r="AA177" s="220">
        <v>1194</v>
      </c>
      <c r="AB177" s="220">
        <v>1062</v>
      </c>
      <c r="AC177" s="308">
        <f t="shared" si="26"/>
        <v>1.1242937853107344</v>
      </c>
      <c r="AD177" s="308"/>
      <c r="AE177" s="431">
        <v>813</v>
      </c>
      <c r="AF177" s="407">
        <v>881</v>
      </c>
      <c r="AG177" s="345">
        <f t="shared" si="27"/>
        <v>0.92281498297389331</v>
      </c>
      <c r="AH177" s="308"/>
      <c r="AI177" s="273">
        <v>727</v>
      </c>
      <c r="AJ177" s="448">
        <v>807</v>
      </c>
      <c r="AK177" s="447">
        <f>+AI177/AJ177</f>
        <v>0.90086741016109051</v>
      </c>
      <c r="AL177" s="308"/>
      <c r="AM177" s="271"/>
      <c r="AN177" s="346"/>
      <c r="AO177" s="317"/>
      <c r="AP177" s="308"/>
      <c r="AQ177" s="220">
        <f>+AA177+AE177+AI177+AM177</f>
        <v>2734</v>
      </c>
      <c r="AR177" s="220">
        <f>+AB177+AF177+AJ177+AN177</f>
        <v>2750</v>
      </c>
      <c r="AS177" s="235">
        <f>+AQ177/AR177</f>
        <v>0.99418181818181817</v>
      </c>
    </row>
    <row r="178" spans="1:45" ht="24.95" customHeight="1" thickBot="1" x14ac:dyDescent="0.3">
      <c r="A178" s="570"/>
      <c r="B178" s="618"/>
      <c r="C178" s="586"/>
      <c r="D178" s="586"/>
      <c r="E178" s="587"/>
      <c r="F178" s="588"/>
      <c r="G178" s="589"/>
      <c r="H178" s="590"/>
      <c r="I178" s="591"/>
      <c r="J178" s="591"/>
      <c r="K178" s="591"/>
      <c r="L178" s="591"/>
      <c r="M178" s="591"/>
      <c r="N178" s="573" t="s">
        <v>219</v>
      </c>
      <c r="O178" s="574"/>
      <c r="P178" s="592">
        <f>+AA177</f>
        <v>1194</v>
      </c>
      <c r="Q178" s="593">
        <f>+AE177</f>
        <v>813</v>
      </c>
      <c r="R178" s="592">
        <f>+AI177</f>
        <v>727</v>
      </c>
      <c r="S178" s="592"/>
      <c r="T178" s="594"/>
      <c r="U178" s="595"/>
      <c r="V178" s="619"/>
      <c r="W178" s="597"/>
      <c r="AA178" s="220"/>
      <c r="AB178" s="220"/>
      <c r="AC178" s="308"/>
      <c r="AD178" s="308"/>
      <c r="AE178" s="431"/>
      <c r="AF178" s="407"/>
      <c r="AG178" s="345"/>
      <c r="AH178" s="308"/>
      <c r="AK178" s="312"/>
      <c r="AL178" s="308"/>
      <c r="AP178" s="308"/>
      <c r="AQ178" s="308"/>
      <c r="AR178" s="308"/>
      <c r="AS178" s="308"/>
    </row>
    <row r="179" spans="1:45" ht="24.95" customHeight="1" thickBot="1" x14ac:dyDescent="0.3">
      <c r="A179" s="570"/>
      <c r="B179" s="620"/>
      <c r="C179" s="598"/>
      <c r="D179" s="598"/>
      <c r="E179" s="599"/>
      <c r="F179" s="600"/>
      <c r="G179" s="601"/>
      <c r="H179" s="602"/>
      <c r="I179" s="603"/>
      <c r="J179" s="603"/>
      <c r="K179" s="603"/>
      <c r="L179" s="603"/>
      <c r="M179" s="603"/>
      <c r="N179" s="573" t="s">
        <v>220</v>
      </c>
      <c r="O179" s="574"/>
      <c r="P179" s="604">
        <f>+AC177</f>
        <v>1.1242937853107344</v>
      </c>
      <c r="Q179" s="605">
        <f>+AG177</f>
        <v>0.92281498297389331</v>
      </c>
      <c r="R179" s="606">
        <f>+AK177</f>
        <v>0.90086741016109051</v>
      </c>
      <c r="S179" s="606"/>
      <c r="T179" s="607"/>
      <c r="U179" s="608"/>
      <c r="V179" s="621"/>
      <c r="W179" s="610"/>
      <c r="AA179" s="220"/>
      <c r="AB179" s="220"/>
      <c r="AC179" s="308"/>
      <c r="AD179" s="308"/>
      <c r="AE179" s="431"/>
      <c r="AF179" s="407"/>
      <c r="AG179" s="345"/>
      <c r="AH179" s="308"/>
      <c r="AK179" s="312"/>
      <c r="AL179" s="308"/>
      <c r="AP179" s="308"/>
      <c r="AQ179" s="308"/>
      <c r="AR179" s="308"/>
      <c r="AS179" s="308"/>
    </row>
    <row r="180" spans="1:45" ht="24.95" customHeight="1" thickBot="1" x14ac:dyDescent="0.3">
      <c r="A180" s="570"/>
      <c r="B180" s="616" t="s">
        <v>440</v>
      </c>
      <c r="C180" s="572" t="s">
        <v>441</v>
      </c>
      <c r="D180" s="572" t="s">
        <v>442</v>
      </c>
      <c r="E180" s="573" t="s">
        <v>443</v>
      </c>
      <c r="F180" s="574"/>
      <c r="G180" s="575" t="s">
        <v>444</v>
      </c>
      <c r="H180" s="576"/>
      <c r="I180" s="577" t="s">
        <v>25</v>
      </c>
      <c r="J180" s="577" t="s">
        <v>8</v>
      </c>
      <c r="K180" s="577" t="s">
        <v>10</v>
      </c>
      <c r="L180" s="577" t="s">
        <v>12</v>
      </c>
      <c r="M180" s="577" t="s">
        <v>23</v>
      </c>
      <c r="N180" s="578">
        <v>2022</v>
      </c>
      <c r="O180" s="579">
        <v>5</v>
      </c>
      <c r="P180" s="579">
        <v>5</v>
      </c>
      <c r="Q180" s="579">
        <v>5</v>
      </c>
      <c r="R180" s="579">
        <v>5</v>
      </c>
      <c r="S180" s="579">
        <v>5</v>
      </c>
      <c r="T180" s="580">
        <f>SUM(P181:S181)</f>
        <v>15689</v>
      </c>
      <c r="U180" s="581">
        <f>+AS180</f>
        <v>5.7384784198975858</v>
      </c>
      <c r="V180" s="582" t="s">
        <v>36</v>
      </c>
      <c r="W180" s="583">
        <f t="shared" si="25"/>
        <v>0.14769568397951716</v>
      </c>
      <c r="AA180" s="220">
        <v>5077</v>
      </c>
      <c r="AB180" s="220">
        <v>1194</v>
      </c>
      <c r="AC180" s="308">
        <f t="shared" si="26"/>
        <v>4.2520938023450583</v>
      </c>
      <c r="AD180" s="308"/>
      <c r="AE180" s="407">
        <v>5602</v>
      </c>
      <c r="AF180" s="431">
        <v>813</v>
      </c>
      <c r="AG180" s="345">
        <f t="shared" si="27"/>
        <v>6.8905289052890533</v>
      </c>
      <c r="AH180" s="308"/>
      <c r="AI180" s="622">
        <v>5010</v>
      </c>
      <c r="AJ180" s="273">
        <v>727</v>
      </c>
      <c r="AK180" s="447">
        <f>+AI180/AJ180</f>
        <v>6.8913342503438786</v>
      </c>
      <c r="AL180" s="308"/>
      <c r="AM180" s="623"/>
      <c r="AN180" s="271"/>
      <c r="AO180" s="317"/>
      <c r="AP180" s="308"/>
      <c r="AQ180" s="220">
        <f>+AA180+AE180+AI180+AM180</f>
        <v>15689</v>
      </c>
      <c r="AR180" s="220">
        <f>+AB180+AF180+AJ180+AN180</f>
        <v>2734</v>
      </c>
      <c r="AS180" s="235">
        <f>+AQ180/AR180</f>
        <v>5.7384784198975858</v>
      </c>
    </row>
    <row r="181" spans="1:45" ht="24.95" customHeight="1" thickBot="1" x14ac:dyDescent="0.3">
      <c r="A181" s="570"/>
      <c r="B181" s="618"/>
      <c r="C181" s="586"/>
      <c r="D181" s="586"/>
      <c r="E181" s="587"/>
      <c r="F181" s="588"/>
      <c r="G181" s="589"/>
      <c r="H181" s="590"/>
      <c r="I181" s="591"/>
      <c r="J181" s="591"/>
      <c r="K181" s="591"/>
      <c r="L181" s="591"/>
      <c r="M181" s="591"/>
      <c r="N181" s="573" t="s">
        <v>219</v>
      </c>
      <c r="O181" s="574"/>
      <c r="P181" s="592">
        <f>+AA180</f>
        <v>5077</v>
      </c>
      <c r="Q181" s="593">
        <f>+AE180</f>
        <v>5602</v>
      </c>
      <c r="R181" s="592">
        <f>+AI180</f>
        <v>5010</v>
      </c>
      <c r="S181" s="592"/>
      <c r="T181" s="594"/>
      <c r="U181" s="595"/>
      <c r="V181" s="596"/>
      <c r="W181" s="597"/>
      <c r="AA181" s="220"/>
      <c r="AB181" s="220"/>
      <c r="AC181" s="308"/>
      <c r="AD181" s="308"/>
      <c r="AE181" s="407"/>
      <c r="AF181" s="431"/>
      <c r="AG181" s="345"/>
      <c r="AH181" s="308"/>
      <c r="AK181" s="312"/>
      <c r="AL181" s="308"/>
      <c r="AP181" s="308"/>
      <c r="AQ181" s="308"/>
      <c r="AR181" s="308"/>
      <c r="AS181" s="308"/>
    </row>
    <row r="182" spans="1:45" ht="24.95" customHeight="1" thickBot="1" x14ac:dyDescent="0.3">
      <c r="A182" s="570"/>
      <c r="B182" s="620"/>
      <c r="C182" s="598"/>
      <c r="D182" s="598"/>
      <c r="E182" s="599"/>
      <c r="F182" s="600"/>
      <c r="G182" s="601"/>
      <c r="H182" s="602"/>
      <c r="I182" s="603"/>
      <c r="J182" s="603"/>
      <c r="K182" s="603"/>
      <c r="L182" s="603"/>
      <c r="M182" s="603"/>
      <c r="N182" s="573" t="s">
        <v>220</v>
      </c>
      <c r="O182" s="574"/>
      <c r="P182" s="604">
        <f>+AC180</f>
        <v>4.2520938023450583</v>
      </c>
      <c r="Q182" s="605">
        <f>+AG180</f>
        <v>6.8905289052890533</v>
      </c>
      <c r="R182" s="606">
        <f>+AK180</f>
        <v>6.8913342503438786</v>
      </c>
      <c r="S182" s="606"/>
      <c r="T182" s="607"/>
      <c r="U182" s="608"/>
      <c r="V182" s="609"/>
      <c r="W182" s="610"/>
      <c r="AA182" s="220"/>
      <c r="AB182" s="220"/>
      <c r="AC182" s="308"/>
      <c r="AD182" s="308"/>
      <c r="AE182" s="407"/>
      <c r="AF182" s="431"/>
      <c r="AG182" s="345"/>
      <c r="AH182" s="308"/>
      <c r="AK182" s="312"/>
      <c r="AL182" s="308"/>
      <c r="AP182" s="308"/>
      <c r="AQ182" s="308"/>
      <c r="AR182" s="308"/>
      <c r="AS182" s="308"/>
    </row>
    <row r="183" spans="1:45" ht="24.95" customHeight="1" thickBot="1" x14ac:dyDescent="0.3">
      <c r="A183" s="570"/>
      <c r="B183" s="616" t="s">
        <v>445</v>
      </c>
      <c r="C183" s="572" t="s">
        <v>446</v>
      </c>
      <c r="D183" s="572" t="s">
        <v>447</v>
      </c>
      <c r="E183" s="573" t="s">
        <v>448</v>
      </c>
      <c r="F183" s="574"/>
      <c r="G183" s="575" t="s">
        <v>449</v>
      </c>
      <c r="H183" s="576"/>
      <c r="I183" s="577" t="s">
        <v>25</v>
      </c>
      <c r="J183" s="577" t="s">
        <v>8</v>
      </c>
      <c r="K183" s="577" t="s">
        <v>10</v>
      </c>
      <c r="L183" s="577" t="s">
        <v>12</v>
      </c>
      <c r="M183" s="577" t="s">
        <v>23</v>
      </c>
      <c r="N183" s="578">
        <v>2022</v>
      </c>
      <c r="O183" s="579">
        <v>0.55000000000000004</v>
      </c>
      <c r="P183" s="579">
        <v>0.55000000000000004</v>
      </c>
      <c r="Q183" s="579">
        <v>0.55000000000000004</v>
      </c>
      <c r="R183" s="579">
        <v>0.55000000000000004</v>
      </c>
      <c r="S183" s="579">
        <v>0.55000000000000004</v>
      </c>
      <c r="T183" s="580">
        <f>SUM(P184:S184)</f>
        <v>2045</v>
      </c>
      <c r="U183" s="581">
        <f>+AS183</f>
        <v>0.74798829553767376</v>
      </c>
      <c r="V183" s="624" t="s">
        <v>37</v>
      </c>
      <c r="W183" s="583">
        <f t="shared" si="25"/>
        <v>0.35997871915940682</v>
      </c>
      <c r="AA183" s="220">
        <v>671</v>
      </c>
      <c r="AB183" s="220">
        <v>1194</v>
      </c>
      <c r="AC183" s="308">
        <f t="shared" si="26"/>
        <v>0.56197654941373532</v>
      </c>
      <c r="AD183" s="308"/>
      <c r="AE183" s="407">
        <v>791</v>
      </c>
      <c r="AF183" s="431">
        <v>813</v>
      </c>
      <c r="AG183" s="345">
        <f t="shared" si="27"/>
        <v>0.97293972939729401</v>
      </c>
      <c r="AH183" s="308"/>
      <c r="AI183" s="622">
        <v>583</v>
      </c>
      <c r="AJ183" s="273">
        <v>727</v>
      </c>
      <c r="AK183" s="447">
        <f>+AI183/AJ183</f>
        <v>0.80192572214580471</v>
      </c>
      <c r="AL183" s="308"/>
      <c r="AM183" s="623"/>
      <c r="AN183" s="271"/>
      <c r="AO183" s="317"/>
      <c r="AP183" s="308"/>
      <c r="AQ183" s="220">
        <f>+AA183+AE183+AI183+AM183</f>
        <v>2045</v>
      </c>
      <c r="AR183" s="220">
        <f>+AB183+AF183+AJ183+AN183</f>
        <v>2734</v>
      </c>
      <c r="AS183" s="235">
        <f>+AQ183/AR183</f>
        <v>0.74798829553767376</v>
      </c>
    </row>
    <row r="184" spans="1:45" ht="24.95" customHeight="1" thickBot="1" x14ac:dyDescent="0.3">
      <c r="A184" s="570"/>
      <c r="B184" s="618"/>
      <c r="C184" s="586"/>
      <c r="D184" s="586"/>
      <c r="E184" s="587"/>
      <c r="F184" s="588"/>
      <c r="G184" s="589"/>
      <c r="H184" s="590"/>
      <c r="I184" s="591"/>
      <c r="J184" s="591"/>
      <c r="K184" s="591"/>
      <c r="L184" s="591"/>
      <c r="M184" s="591"/>
      <c r="N184" s="573" t="s">
        <v>219</v>
      </c>
      <c r="O184" s="574"/>
      <c r="P184" s="592">
        <f>+AA183</f>
        <v>671</v>
      </c>
      <c r="Q184" s="593">
        <f>+AE183</f>
        <v>791</v>
      </c>
      <c r="R184" s="592">
        <f>+AI183</f>
        <v>583</v>
      </c>
      <c r="S184" s="592"/>
      <c r="T184" s="594"/>
      <c r="U184" s="595"/>
      <c r="V184" s="625"/>
      <c r="W184" s="597"/>
      <c r="AA184" s="220"/>
      <c r="AB184" s="220"/>
      <c r="AC184" s="308"/>
      <c r="AD184" s="308"/>
      <c r="AE184" s="407"/>
      <c r="AF184" s="431"/>
      <c r="AG184" s="345"/>
      <c r="AH184" s="308"/>
      <c r="AK184" s="312"/>
      <c r="AL184" s="308"/>
      <c r="AP184" s="308"/>
      <c r="AQ184" s="308"/>
      <c r="AR184" s="308"/>
      <c r="AS184" s="308"/>
    </row>
    <row r="185" spans="1:45" ht="24.95" customHeight="1" thickBot="1" x14ac:dyDescent="0.3">
      <c r="A185" s="570"/>
      <c r="B185" s="620"/>
      <c r="C185" s="598"/>
      <c r="D185" s="598"/>
      <c r="E185" s="599"/>
      <c r="F185" s="600"/>
      <c r="G185" s="601"/>
      <c r="H185" s="602"/>
      <c r="I185" s="603"/>
      <c r="J185" s="603"/>
      <c r="K185" s="603"/>
      <c r="L185" s="603"/>
      <c r="M185" s="603"/>
      <c r="N185" s="573" t="s">
        <v>220</v>
      </c>
      <c r="O185" s="574"/>
      <c r="P185" s="604">
        <f>+AC183</f>
        <v>0.56197654941373532</v>
      </c>
      <c r="Q185" s="605">
        <f>+AG183</f>
        <v>0.97293972939729401</v>
      </c>
      <c r="R185" s="606">
        <f>+AK183</f>
        <v>0.80192572214580471</v>
      </c>
      <c r="S185" s="606"/>
      <c r="T185" s="607"/>
      <c r="U185" s="608"/>
      <c r="V185" s="626"/>
      <c r="W185" s="610"/>
      <c r="AA185" s="220"/>
      <c r="AB185" s="220"/>
      <c r="AC185" s="308"/>
      <c r="AD185" s="308"/>
      <c r="AE185" s="407"/>
      <c r="AF185" s="431"/>
      <c r="AG185" s="345"/>
      <c r="AH185" s="308"/>
      <c r="AK185" s="312"/>
      <c r="AL185" s="308"/>
      <c r="AP185" s="308"/>
      <c r="AQ185" s="308"/>
      <c r="AR185" s="308"/>
      <c r="AS185" s="308"/>
    </row>
    <row r="186" spans="1:45" ht="24.95" customHeight="1" thickBot="1" x14ac:dyDescent="0.3">
      <c r="A186" s="570"/>
      <c r="B186" s="616" t="s">
        <v>450</v>
      </c>
      <c r="C186" s="572" t="s">
        <v>451</v>
      </c>
      <c r="D186" s="572" t="s">
        <v>452</v>
      </c>
      <c r="E186" s="573" t="s">
        <v>453</v>
      </c>
      <c r="F186" s="574"/>
      <c r="G186" s="575" t="s">
        <v>454</v>
      </c>
      <c r="H186" s="576"/>
      <c r="I186" s="577" t="s">
        <v>25</v>
      </c>
      <c r="J186" s="577" t="s">
        <v>8</v>
      </c>
      <c r="K186" s="577" t="s">
        <v>10</v>
      </c>
      <c r="L186" s="577" t="s">
        <v>79</v>
      </c>
      <c r="M186" s="577" t="s">
        <v>23</v>
      </c>
      <c r="N186" s="578">
        <v>2022</v>
      </c>
      <c r="O186" s="579">
        <v>0.19</v>
      </c>
      <c r="P186" s="579">
        <v>0.19</v>
      </c>
      <c r="Q186" s="579">
        <v>0.19</v>
      </c>
      <c r="R186" s="579">
        <v>0.19</v>
      </c>
      <c r="S186" s="579">
        <v>0.19</v>
      </c>
      <c r="T186" s="580">
        <f>SUM(P187:S187)</f>
        <v>111</v>
      </c>
      <c r="U186" s="581">
        <f>+AS186</f>
        <v>0.33944954128440369</v>
      </c>
      <c r="V186" s="624" t="s">
        <v>37</v>
      </c>
      <c r="W186" s="583">
        <f t="shared" si="25"/>
        <v>0.78657653307580877</v>
      </c>
      <c r="AA186" s="220">
        <v>38</v>
      </c>
      <c r="AB186" s="220">
        <v>122</v>
      </c>
      <c r="AC186" s="308">
        <f t="shared" si="26"/>
        <v>0.31147540983606559</v>
      </c>
      <c r="AD186" s="308"/>
      <c r="AE186" s="407">
        <v>33</v>
      </c>
      <c r="AF186" s="627">
        <v>121</v>
      </c>
      <c r="AG186" s="345">
        <f t="shared" si="27"/>
        <v>0.27272727272727271</v>
      </c>
      <c r="AH186" s="308"/>
      <c r="AI186" s="316">
        <v>40</v>
      </c>
      <c r="AJ186" s="273">
        <v>84</v>
      </c>
      <c r="AK186" s="447">
        <f>+AI186/AJ186</f>
        <v>0.47619047619047616</v>
      </c>
      <c r="AL186" s="308"/>
      <c r="AM186" s="439"/>
      <c r="AN186" s="271"/>
      <c r="AO186" s="317"/>
      <c r="AP186" s="308"/>
      <c r="AQ186" s="220">
        <f>+AA186+AE186+AI186+AM186</f>
        <v>111</v>
      </c>
      <c r="AR186" s="220">
        <f>+AB186+AF186+AJ186+AN186</f>
        <v>327</v>
      </c>
      <c r="AS186" s="235">
        <f>+AQ186/AR186</f>
        <v>0.33944954128440369</v>
      </c>
    </row>
    <row r="187" spans="1:45" ht="24.95" customHeight="1" thickBot="1" x14ac:dyDescent="0.3">
      <c r="A187" s="570"/>
      <c r="B187" s="618"/>
      <c r="C187" s="586"/>
      <c r="D187" s="586"/>
      <c r="E187" s="587"/>
      <c r="F187" s="588"/>
      <c r="G187" s="589"/>
      <c r="H187" s="590"/>
      <c r="I187" s="591"/>
      <c r="J187" s="591"/>
      <c r="K187" s="591"/>
      <c r="L187" s="591"/>
      <c r="M187" s="591"/>
      <c r="N187" s="573" t="s">
        <v>219</v>
      </c>
      <c r="O187" s="574"/>
      <c r="P187" s="592">
        <f>+AA186</f>
        <v>38</v>
      </c>
      <c r="Q187" s="593">
        <f>+AE186</f>
        <v>33</v>
      </c>
      <c r="R187" s="592">
        <f>+AI186</f>
        <v>40</v>
      </c>
      <c r="S187" s="592"/>
      <c r="T187" s="594"/>
      <c r="U187" s="595"/>
      <c r="V187" s="625"/>
      <c r="W187" s="597"/>
      <c r="AA187" s="220"/>
      <c r="AB187" s="220"/>
      <c r="AC187" s="308"/>
      <c r="AD187" s="308"/>
      <c r="AE187" s="407"/>
      <c r="AF187" s="627"/>
      <c r="AG187" s="345"/>
      <c r="AH187" s="308"/>
      <c r="AK187" s="312"/>
      <c r="AL187" s="308"/>
      <c r="AP187" s="308"/>
      <c r="AQ187" s="308"/>
      <c r="AR187" s="308"/>
      <c r="AS187" s="308"/>
    </row>
    <row r="188" spans="1:45" ht="24.95" customHeight="1" thickBot="1" x14ac:dyDescent="0.3">
      <c r="A188" s="570"/>
      <c r="B188" s="618"/>
      <c r="C188" s="586"/>
      <c r="D188" s="598"/>
      <c r="E188" s="599"/>
      <c r="F188" s="600"/>
      <c r="G188" s="601"/>
      <c r="H188" s="602"/>
      <c r="I188" s="603"/>
      <c r="J188" s="603"/>
      <c r="K188" s="603"/>
      <c r="L188" s="603"/>
      <c r="M188" s="603"/>
      <c r="N188" s="573" t="s">
        <v>220</v>
      </c>
      <c r="O188" s="574"/>
      <c r="P188" s="604">
        <f>+AC186</f>
        <v>0.31147540983606559</v>
      </c>
      <c r="Q188" s="605">
        <f>+AG186</f>
        <v>0.27272727272727271</v>
      </c>
      <c r="R188" s="606">
        <f>+AK186</f>
        <v>0.47619047619047616</v>
      </c>
      <c r="S188" s="606"/>
      <c r="T188" s="607"/>
      <c r="U188" s="608"/>
      <c r="V188" s="626"/>
      <c r="W188" s="610"/>
      <c r="AA188" s="220"/>
      <c r="AB188" s="220"/>
      <c r="AC188" s="308"/>
      <c r="AD188" s="308"/>
      <c r="AE188" s="407"/>
      <c r="AF188" s="627"/>
      <c r="AG188" s="345"/>
      <c r="AH188" s="308"/>
      <c r="AK188" s="312"/>
      <c r="AL188" s="308"/>
      <c r="AP188" s="308"/>
      <c r="AQ188" s="308"/>
      <c r="AR188" s="308"/>
      <c r="AS188" s="308"/>
    </row>
    <row r="189" spans="1:45" ht="24.95" customHeight="1" thickBot="1" x14ac:dyDescent="0.3">
      <c r="A189" s="570"/>
      <c r="B189" s="618"/>
      <c r="C189" s="586"/>
      <c r="D189" s="572" t="s">
        <v>455</v>
      </c>
      <c r="E189" s="573" t="s">
        <v>456</v>
      </c>
      <c r="F189" s="574"/>
      <c r="G189" s="575" t="s">
        <v>457</v>
      </c>
      <c r="H189" s="576"/>
      <c r="I189" s="577" t="s">
        <v>25</v>
      </c>
      <c r="J189" s="577" t="s">
        <v>8</v>
      </c>
      <c r="K189" s="577" t="s">
        <v>10</v>
      </c>
      <c r="L189" s="577" t="s">
        <v>79</v>
      </c>
      <c r="M189" s="577" t="s">
        <v>23</v>
      </c>
      <c r="N189" s="578">
        <v>2022</v>
      </c>
      <c r="O189" s="579">
        <v>0.1</v>
      </c>
      <c r="P189" s="579">
        <v>0.1</v>
      </c>
      <c r="Q189" s="579">
        <v>0.1</v>
      </c>
      <c r="R189" s="579">
        <v>0.1</v>
      </c>
      <c r="S189" s="579">
        <v>0.1</v>
      </c>
      <c r="T189" s="580">
        <f>SUM(P190:S190)</f>
        <v>39</v>
      </c>
      <c r="U189" s="581">
        <f>+AS189</f>
        <v>0.11926605504587157</v>
      </c>
      <c r="V189" s="582" t="s">
        <v>36</v>
      </c>
      <c r="W189" s="583">
        <f t="shared" si="25"/>
        <v>0.19266055045871555</v>
      </c>
      <c r="AA189" s="220">
        <v>8</v>
      </c>
      <c r="AB189" s="220">
        <v>122</v>
      </c>
      <c r="AC189" s="308">
        <f t="shared" si="26"/>
        <v>6.5573770491803282E-2</v>
      </c>
      <c r="AD189" s="308"/>
      <c r="AE189" s="407">
        <v>19</v>
      </c>
      <c r="AF189" s="627">
        <v>121</v>
      </c>
      <c r="AG189" s="345">
        <f t="shared" si="27"/>
        <v>0.15702479338842976</v>
      </c>
      <c r="AH189" s="308"/>
      <c r="AI189" s="316">
        <v>12</v>
      </c>
      <c r="AJ189" s="273">
        <v>84</v>
      </c>
      <c r="AK189" s="447">
        <f>+AI189/AJ189</f>
        <v>0.14285714285714285</v>
      </c>
      <c r="AL189" s="308"/>
      <c r="AM189" s="439"/>
      <c r="AN189" s="271"/>
      <c r="AO189" s="317"/>
      <c r="AP189" s="308"/>
      <c r="AQ189" s="220">
        <f>+AA189+AE189+AI189+AM189</f>
        <v>39</v>
      </c>
      <c r="AR189" s="220">
        <f>+AB189+AF189+AJ189+AN189</f>
        <v>327</v>
      </c>
      <c r="AS189" s="235">
        <f>+AQ189/AR189</f>
        <v>0.11926605504587157</v>
      </c>
    </row>
    <row r="190" spans="1:45" ht="24.95" customHeight="1" thickBot="1" x14ac:dyDescent="0.3">
      <c r="A190" s="570"/>
      <c r="B190" s="618"/>
      <c r="C190" s="586"/>
      <c r="D190" s="586"/>
      <c r="E190" s="587"/>
      <c r="F190" s="588"/>
      <c r="G190" s="589"/>
      <c r="H190" s="590"/>
      <c r="I190" s="591"/>
      <c r="J190" s="591"/>
      <c r="K190" s="591"/>
      <c r="L190" s="591"/>
      <c r="M190" s="591"/>
      <c r="N190" s="573" t="s">
        <v>219</v>
      </c>
      <c r="O190" s="574"/>
      <c r="P190" s="592">
        <f>+AA189</f>
        <v>8</v>
      </c>
      <c r="Q190" s="593">
        <f>+AE189</f>
        <v>19</v>
      </c>
      <c r="R190" s="592">
        <f>+AI189</f>
        <v>12</v>
      </c>
      <c r="S190" s="592"/>
      <c r="T190" s="594"/>
      <c r="U190" s="595"/>
      <c r="V190" s="596"/>
      <c r="W190" s="597"/>
      <c r="AA190" s="220"/>
      <c r="AB190" s="220"/>
      <c r="AC190" s="308"/>
      <c r="AD190" s="308"/>
      <c r="AE190" s="407"/>
      <c r="AF190" s="627"/>
      <c r="AG190" s="345"/>
      <c r="AH190" s="308"/>
      <c r="AK190" s="312"/>
      <c r="AL190" s="308"/>
      <c r="AP190" s="308"/>
      <c r="AQ190" s="308"/>
      <c r="AR190" s="308"/>
      <c r="AS190" s="308"/>
    </row>
    <row r="191" spans="1:45" ht="24.95" customHeight="1" thickBot="1" x14ac:dyDescent="0.3">
      <c r="A191" s="570"/>
      <c r="B191" s="618"/>
      <c r="C191" s="586"/>
      <c r="D191" s="598"/>
      <c r="E191" s="599"/>
      <c r="F191" s="600"/>
      <c r="G191" s="601"/>
      <c r="H191" s="602"/>
      <c r="I191" s="603"/>
      <c r="J191" s="603"/>
      <c r="K191" s="603"/>
      <c r="L191" s="603"/>
      <c r="M191" s="603"/>
      <c r="N191" s="573" t="s">
        <v>220</v>
      </c>
      <c r="O191" s="574"/>
      <c r="P191" s="604">
        <f>+AC189</f>
        <v>6.5573770491803282E-2</v>
      </c>
      <c r="Q191" s="605">
        <f>+AG189</f>
        <v>0.15702479338842976</v>
      </c>
      <c r="R191" s="606">
        <f>+AK189</f>
        <v>0.14285714285714285</v>
      </c>
      <c r="S191" s="606"/>
      <c r="T191" s="607"/>
      <c r="U191" s="608"/>
      <c r="V191" s="609"/>
      <c r="W191" s="610"/>
      <c r="AA191" s="220"/>
      <c r="AB191" s="220"/>
      <c r="AC191" s="308"/>
      <c r="AD191" s="308"/>
      <c r="AE191" s="407"/>
      <c r="AF191" s="627"/>
      <c r="AG191" s="345"/>
      <c r="AH191" s="308"/>
      <c r="AI191" s="308"/>
      <c r="AJ191" s="308"/>
      <c r="AK191" s="447"/>
      <c r="AL191" s="308"/>
      <c r="AM191" s="308"/>
      <c r="AN191" s="308"/>
      <c r="AO191" s="308"/>
      <c r="AP191" s="308"/>
      <c r="AQ191" s="308"/>
      <c r="AR191" s="308"/>
      <c r="AS191" s="308"/>
    </row>
    <row r="192" spans="1:45" ht="24.95" customHeight="1" thickBot="1" x14ac:dyDescent="0.3">
      <c r="A192" s="570"/>
      <c r="B192" s="618"/>
      <c r="C192" s="586"/>
      <c r="D192" s="572" t="s">
        <v>458</v>
      </c>
      <c r="E192" s="573" t="s">
        <v>459</v>
      </c>
      <c r="F192" s="574"/>
      <c r="G192" s="575" t="s">
        <v>460</v>
      </c>
      <c r="H192" s="576"/>
      <c r="I192" s="577" t="s">
        <v>25</v>
      </c>
      <c r="J192" s="577" t="s">
        <v>8</v>
      </c>
      <c r="K192" s="577" t="s">
        <v>10</v>
      </c>
      <c r="L192" s="577" t="s">
        <v>12</v>
      </c>
      <c r="M192" s="577" t="s">
        <v>23</v>
      </c>
      <c r="N192" s="578">
        <v>2022</v>
      </c>
      <c r="O192" s="579">
        <v>0.15</v>
      </c>
      <c r="P192" s="579">
        <v>0.15</v>
      </c>
      <c r="Q192" s="579">
        <v>0.15</v>
      </c>
      <c r="R192" s="579">
        <v>0.15</v>
      </c>
      <c r="S192" s="579">
        <v>0.15</v>
      </c>
      <c r="T192" s="580">
        <f>SUM(P193:S193)</f>
        <v>61</v>
      </c>
      <c r="U192" s="581">
        <f>+AS192</f>
        <v>0.18654434250764526</v>
      </c>
      <c r="V192" s="624" t="s">
        <v>37</v>
      </c>
      <c r="W192" s="583">
        <f t="shared" si="25"/>
        <v>0.24362895005096852</v>
      </c>
      <c r="AA192" s="220">
        <v>20</v>
      </c>
      <c r="AB192" s="220">
        <v>122</v>
      </c>
      <c r="AC192" s="308">
        <f t="shared" si="26"/>
        <v>0.16393442622950818</v>
      </c>
      <c r="AD192" s="308"/>
      <c r="AE192" s="407">
        <v>14</v>
      </c>
      <c r="AF192" s="627">
        <v>121</v>
      </c>
      <c r="AG192" s="345">
        <f t="shared" si="27"/>
        <v>0.11570247933884298</v>
      </c>
      <c r="AH192" s="308"/>
      <c r="AI192" s="316">
        <v>27</v>
      </c>
      <c r="AJ192" s="273">
        <v>84</v>
      </c>
      <c r="AK192" s="447">
        <f>+AI192/AJ192</f>
        <v>0.32142857142857145</v>
      </c>
      <c r="AL192" s="308"/>
      <c r="AM192" s="439"/>
      <c r="AN192" s="271"/>
      <c r="AO192" s="317"/>
      <c r="AP192" s="308"/>
      <c r="AQ192" s="220">
        <f>+AA192+AE192+AI192+AM192</f>
        <v>61</v>
      </c>
      <c r="AR192" s="220">
        <f>+AB192+AF192+AJ192+AN192</f>
        <v>327</v>
      </c>
      <c r="AS192" s="235">
        <f>+AQ192/AR192</f>
        <v>0.18654434250764526</v>
      </c>
    </row>
    <row r="193" spans="1:55" ht="24.95" customHeight="1" thickBot="1" x14ac:dyDescent="0.3">
      <c r="A193" s="628"/>
      <c r="B193" s="618"/>
      <c r="C193" s="586"/>
      <c r="D193" s="586"/>
      <c r="E193" s="587"/>
      <c r="F193" s="588"/>
      <c r="G193" s="589"/>
      <c r="H193" s="590"/>
      <c r="I193" s="591"/>
      <c r="J193" s="591"/>
      <c r="K193" s="591"/>
      <c r="L193" s="591"/>
      <c r="M193" s="591"/>
      <c r="N193" s="573" t="s">
        <v>219</v>
      </c>
      <c r="O193" s="574"/>
      <c r="P193" s="592">
        <f>+AA192</f>
        <v>20</v>
      </c>
      <c r="Q193" s="592">
        <f>+AE192</f>
        <v>14</v>
      </c>
      <c r="R193" s="592">
        <f>+AI192</f>
        <v>27</v>
      </c>
      <c r="S193" s="592"/>
      <c r="T193" s="594"/>
      <c r="U193" s="595"/>
      <c r="V193" s="625"/>
      <c r="W193" s="597"/>
      <c r="AA193" s="220"/>
      <c r="AB193" s="220"/>
      <c r="AC193" s="308"/>
      <c r="AD193" s="308"/>
      <c r="AE193" s="407"/>
      <c r="AF193" s="627"/>
      <c r="AG193" s="308"/>
      <c r="AH193" s="308"/>
      <c r="AI193" s="308"/>
      <c r="AJ193" s="308"/>
      <c r="AK193" s="308"/>
      <c r="AL193" s="308"/>
      <c r="AM193" s="308"/>
      <c r="AN193" s="308"/>
      <c r="AO193" s="308"/>
      <c r="AP193" s="308"/>
      <c r="AQ193" s="308"/>
      <c r="AR193" s="308"/>
      <c r="AS193" s="308"/>
    </row>
    <row r="194" spans="1:55" ht="24.95" customHeight="1" thickBot="1" x14ac:dyDescent="0.3">
      <c r="A194" s="628"/>
      <c r="B194" s="620"/>
      <c r="C194" s="598"/>
      <c r="D194" s="598"/>
      <c r="E194" s="599"/>
      <c r="F194" s="600"/>
      <c r="G194" s="601"/>
      <c r="H194" s="602"/>
      <c r="I194" s="603"/>
      <c r="J194" s="603"/>
      <c r="K194" s="603"/>
      <c r="L194" s="603"/>
      <c r="M194" s="603"/>
      <c r="N194" s="629" t="s">
        <v>220</v>
      </c>
      <c r="O194" s="630"/>
      <c r="P194" s="604">
        <f>+AC192</f>
        <v>0.16393442622950818</v>
      </c>
      <c r="Q194" s="604">
        <f>+AG192</f>
        <v>0.11570247933884298</v>
      </c>
      <c r="R194" s="606">
        <f>+AK192</f>
        <v>0.32142857142857145</v>
      </c>
      <c r="S194" s="606"/>
      <c r="T194" s="607"/>
      <c r="U194" s="608"/>
      <c r="V194" s="626"/>
      <c r="W194" s="610"/>
      <c r="AE194" s="631"/>
      <c r="AF194" s="631"/>
      <c r="AG194" s="631"/>
      <c r="AH194" s="631"/>
      <c r="AI194" s="631"/>
      <c r="AJ194" s="631"/>
      <c r="AK194" s="631"/>
      <c r="AL194" s="631"/>
      <c r="AM194" s="631"/>
      <c r="AN194" s="631"/>
      <c r="AO194" s="631"/>
      <c r="AP194" s="631"/>
      <c r="AQ194" s="631"/>
      <c r="AR194" s="631"/>
      <c r="AS194" s="631"/>
      <c r="AT194" s="631"/>
      <c r="AU194" s="631"/>
      <c r="AV194" s="631"/>
      <c r="AW194" s="631"/>
    </row>
    <row r="195" spans="1:55" x14ac:dyDescent="0.25">
      <c r="Z195" s="632" t="s">
        <v>461</v>
      </c>
      <c r="AA195" s="633"/>
      <c r="AB195" s="633"/>
      <c r="AC195" s="633"/>
      <c r="AD195" s="633"/>
      <c r="AE195" s="633"/>
      <c r="AF195" s="633"/>
      <c r="AG195" s="633"/>
      <c r="AH195" s="633"/>
      <c r="AI195" s="634"/>
      <c r="AJ195" s="635"/>
      <c r="AK195" s="635"/>
      <c r="AL195" s="635"/>
      <c r="AM195" s="635"/>
    </row>
    <row r="196" spans="1:55" ht="18" x14ac:dyDescent="0.25">
      <c r="Z196" s="636"/>
      <c r="AA196" s="637" t="s">
        <v>462</v>
      </c>
      <c r="AB196" s="637" t="s">
        <v>463</v>
      </c>
      <c r="AC196" s="637" t="s">
        <v>464</v>
      </c>
      <c r="AD196" s="637" t="s">
        <v>465</v>
      </c>
      <c r="AE196" s="637" t="s">
        <v>466</v>
      </c>
      <c r="AF196" s="637" t="s">
        <v>467</v>
      </c>
      <c r="AG196" s="637" t="s">
        <v>468</v>
      </c>
      <c r="AH196" s="637" t="s">
        <v>469</v>
      </c>
      <c r="AI196" s="638" t="s">
        <v>470</v>
      </c>
      <c r="AJ196" s="19"/>
      <c r="AZ196" t="s">
        <v>471</v>
      </c>
      <c r="BB196" s="639" t="s">
        <v>472</v>
      </c>
      <c r="BC196" t="s">
        <v>473</v>
      </c>
    </row>
    <row r="197" spans="1:55" x14ac:dyDescent="0.25">
      <c r="Z197" s="636" t="s">
        <v>474</v>
      </c>
      <c r="AA197" s="640">
        <v>349</v>
      </c>
      <c r="AB197" s="640">
        <v>0</v>
      </c>
      <c r="AC197" s="640">
        <v>30</v>
      </c>
      <c r="AD197" s="640"/>
      <c r="AE197" s="640"/>
      <c r="AF197" s="640">
        <v>0</v>
      </c>
      <c r="AG197" s="640">
        <v>16</v>
      </c>
      <c r="AH197" s="640">
        <v>987</v>
      </c>
      <c r="AI197" s="641">
        <v>635</v>
      </c>
      <c r="AJ197" s="19"/>
    </row>
    <row r="198" spans="1:55" x14ac:dyDescent="0.25">
      <c r="Z198" s="636" t="s">
        <v>475</v>
      </c>
      <c r="AA198" s="640">
        <v>1280</v>
      </c>
      <c r="AB198" s="640">
        <v>0</v>
      </c>
      <c r="AC198" s="640">
        <v>163</v>
      </c>
      <c r="AD198" s="640"/>
      <c r="AE198" s="640"/>
      <c r="AF198" s="640">
        <v>2</v>
      </c>
      <c r="AG198" s="640">
        <v>23</v>
      </c>
      <c r="AH198" s="640">
        <v>4089</v>
      </c>
      <c r="AI198" s="641">
        <v>4827</v>
      </c>
      <c r="AJ198" s="19"/>
      <c r="BB198" s="93" t="s">
        <v>476</v>
      </c>
    </row>
    <row r="199" spans="1:55" x14ac:dyDescent="0.25">
      <c r="Z199" s="636" t="s">
        <v>477</v>
      </c>
      <c r="AA199" s="640">
        <v>65</v>
      </c>
      <c r="AB199" s="640">
        <v>29</v>
      </c>
      <c r="AC199" s="640">
        <v>15</v>
      </c>
      <c r="AD199" s="640"/>
      <c r="AE199" s="640"/>
      <c r="AF199" s="640"/>
      <c r="AG199" s="640">
        <v>0</v>
      </c>
      <c r="AH199" s="640">
        <v>344</v>
      </c>
      <c r="AI199" s="641">
        <v>413</v>
      </c>
      <c r="AJ199" s="19"/>
      <c r="BB199" s="93"/>
    </row>
    <row r="200" spans="1:55" x14ac:dyDescent="0.25">
      <c r="Z200" s="636" t="s">
        <v>478</v>
      </c>
      <c r="AA200" s="640">
        <v>16</v>
      </c>
      <c r="AB200" s="640">
        <v>0</v>
      </c>
      <c r="AC200" s="640">
        <v>4</v>
      </c>
      <c r="AD200" s="640"/>
      <c r="AE200" s="640"/>
      <c r="AF200" s="640"/>
      <c r="AG200" s="640"/>
      <c r="AH200" s="640">
        <v>129</v>
      </c>
      <c r="AI200" s="641">
        <v>83</v>
      </c>
      <c r="AJ200" s="19"/>
      <c r="BB200" s="93"/>
    </row>
    <row r="201" spans="1:55" x14ac:dyDescent="0.25">
      <c r="Z201" s="636" t="s">
        <v>479</v>
      </c>
      <c r="AA201" s="640">
        <v>158</v>
      </c>
      <c r="AB201" s="640">
        <v>82</v>
      </c>
      <c r="AC201" s="640">
        <v>19</v>
      </c>
      <c r="AD201" s="640"/>
      <c r="AE201" s="640"/>
      <c r="AF201" s="640"/>
      <c r="AG201" s="640"/>
      <c r="AH201" s="640">
        <v>1062</v>
      </c>
      <c r="AI201" s="641">
        <v>1194</v>
      </c>
      <c r="AJ201" s="19"/>
      <c r="BB201" s="93"/>
    </row>
    <row r="202" spans="1:55" x14ac:dyDescent="0.25">
      <c r="Z202" s="636" t="s">
        <v>480</v>
      </c>
      <c r="AA202" s="640">
        <v>14</v>
      </c>
      <c r="AB202" s="640">
        <v>4</v>
      </c>
      <c r="AC202" s="640">
        <v>0</v>
      </c>
      <c r="AD202" s="640"/>
      <c r="AE202" s="640"/>
      <c r="AF202" s="640">
        <v>1</v>
      </c>
      <c r="AG202" s="640"/>
      <c r="AH202" s="640">
        <v>0</v>
      </c>
      <c r="AI202" s="641">
        <v>0</v>
      </c>
      <c r="AJ202" s="19"/>
    </row>
    <row r="203" spans="1:55" x14ac:dyDescent="0.25">
      <c r="Z203" s="636" t="s">
        <v>481</v>
      </c>
      <c r="AA203" s="642">
        <v>408</v>
      </c>
      <c r="AB203" s="642"/>
      <c r="AC203" s="642"/>
      <c r="AD203" s="642">
        <v>0</v>
      </c>
      <c r="AE203" s="642">
        <v>7</v>
      </c>
      <c r="AF203" s="642">
        <v>2</v>
      </c>
      <c r="AG203" s="642">
        <v>39</v>
      </c>
      <c r="AH203" s="642"/>
      <c r="AI203" s="643">
        <v>524</v>
      </c>
      <c r="AJ203" s="19"/>
    </row>
    <row r="204" spans="1:55" ht="19.5" customHeight="1" x14ac:dyDescent="0.25">
      <c r="Z204" s="636" t="s">
        <v>482</v>
      </c>
      <c r="AA204" s="644">
        <v>2290</v>
      </c>
      <c r="AB204" s="645">
        <v>115</v>
      </c>
      <c r="AC204" s="645">
        <v>231</v>
      </c>
      <c r="AD204" s="645">
        <v>0</v>
      </c>
      <c r="AE204" s="645">
        <v>7</v>
      </c>
      <c r="AF204" s="645">
        <v>3</v>
      </c>
      <c r="AG204" s="645">
        <f>+AG203</f>
        <v>39</v>
      </c>
      <c r="AH204" s="645">
        <v>6611</v>
      </c>
      <c r="AI204" s="646">
        <v>7676</v>
      </c>
      <c r="AJ204" s="19"/>
    </row>
    <row r="205" spans="1:55" x14ac:dyDescent="0.25">
      <c r="Z205" s="636"/>
      <c r="AA205" s="640" t="s">
        <v>483</v>
      </c>
      <c r="AB205" s="647">
        <v>395</v>
      </c>
      <c r="AC205" s="647"/>
      <c r="AD205" s="647"/>
      <c r="AE205" s="647"/>
      <c r="AF205" s="647"/>
      <c r="AG205" s="647"/>
      <c r="AH205" s="648"/>
      <c r="AI205" s="641">
        <v>7676</v>
      </c>
      <c r="AJ205" s="19"/>
    </row>
    <row r="206" spans="1:55" x14ac:dyDescent="0.25">
      <c r="Z206" s="636" t="s">
        <v>484</v>
      </c>
      <c r="AA206" s="649">
        <v>2685</v>
      </c>
      <c r="AB206" s="649"/>
      <c r="AC206" s="649"/>
      <c r="AD206" s="649"/>
      <c r="AE206" s="649"/>
      <c r="AF206" s="649"/>
      <c r="AG206" s="649"/>
      <c r="AH206" s="649"/>
      <c r="AI206" s="641">
        <v>7676</v>
      </c>
      <c r="AJ206" s="19"/>
    </row>
    <row r="207" spans="1:55" x14ac:dyDescent="0.25">
      <c r="Z207" s="636"/>
      <c r="AA207" s="649" t="s">
        <v>218</v>
      </c>
      <c r="AB207" s="649"/>
      <c r="AC207" s="649"/>
      <c r="AD207" s="649"/>
      <c r="AE207" s="649"/>
      <c r="AF207" s="649"/>
      <c r="AG207" s="649"/>
      <c r="AH207" s="649"/>
      <c r="AI207" s="641">
        <f>+AA206/AI206</f>
        <v>0.34979155810317875</v>
      </c>
      <c r="AJ207" s="19"/>
    </row>
    <row r="208" spans="1:55" x14ac:dyDescent="0.25">
      <c r="Z208" s="650"/>
      <c r="AA208" s="651"/>
      <c r="AB208" s="651"/>
      <c r="AC208" s="651"/>
      <c r="AD208" s="651"/>
      <c r="AE208" s="651"/>
      <c r="AF208" s="651"/>
      <c r="AG208" s="651"/>
      <c r="AH208" s="651"/>
      <c r="AI208" s="652">
        <v>0.34874934861907242</v>
      </c>
      <c r="AJ208" s="19"/>
      <c r="BB208">
        <v>474</v>
      </c>
      <c r="BC208" t="s">
        <v>485</v>
      </c>
    </row>
    <row r="209" spans="26:36" ht="30.75" customHeight="1" x14ac:dyDescent="0.25"/>
    <row r="210" spans="26:36" ht="30.75" customHeight="1" x14ac:dyDescent="0.25">
      <c r="Z210" s="653" t="s">
        <v>486</v>
      </c>
      <c r="AA210" s="654"/>
      <c r="AB210" s="654"/>
      <c r="AC210" s="654"/>
      <c r="AD210" s="654"/>
      <c r="AE210" s="654"/>
      <c r="AF210" s="654"/>
      <c r="AG210" s="654"/>
      <c r="AH210" s="654"/>
      <c r="AI210" s="654"/>
      <c r="AJ210" s="654"/>
    </row>
    <row r="211" spans="26:36" ht="15.75" x14ac:dyDescent="0.25">
      <c r="Z211" s="655" t="s">
        <v>487</v>
      </c>
      <c r="AA211" s="654"/>
      <c r="AB211" s="654"/>
      <c r="AC211" s="654"/>
      <c r="AD211" s="654"/>
      <c r="AE211" s="654"/>
      <c r="AF211" s="654"/>
      <c r="AG211" s="654"/>
      <c r="AH211" s="654"/>
      <c r="AI211" s="654"/>
      <c r="AJ211" s="654"/>
    </row>
    <row r="212" spans="26:36" ht="15.75" x14ac:dyDescent="0.25">
      <c r="Z212" s="632" t="s">
        <v>488</v>
      </c>
      <c r="AA212" s="633"/>
      <c r="AB212" s="633"/>
      <c r="AC212" s="633"/>
      <c r="AD212" s="633"/>
      <c r="AE212" s="633"/>
      <c r="AF212" s="633"/>
      <c r="AG212" s="633"/>
      <c r="AH212" s="633"/>
      <c r="AI212" s="634"/>
      <c r="AJ212" s="654"/>
    </row>
    <row r="213" spans="26:36" ht="18.75" thickBot="1" x14ac:dyDescent="0.35">
      <c r="Z213" s="636"/>
      <c r="AA213" s="637" t="s">
        <v>462</v>
      </c>
      <c r="AB213" s="637" t="s">
        <v>463</v>
      </c>
      <c r="AC213" s="637" t="s">
        <v>464</v>
      </c>
      <c r="AD213" s="637" t="s">
        <v>465</v>
      </c>
      <c r="AE213" s="637" t="s">
        <v>466</v>
      </c>
      <c r="AF213" s="637" t="s">
        <v>467</v>
      </c>
      <c r="AG213" s="637" t="s">
        <v>468</v>
      </c>
      <c r="AH213" s="637" t="s">
        <v>469</v>
      </c>
      <c r="AI213" s="638" t="s">
        <v>470</v>
      </c>
      <c r="AJ213" s="656"/>
    </row>
    <row r="214" spans="26:36" ht="15.75" x14ac:dyDescent="0.25">
      <c r="Z214" s="657" t="s">
        <v>474</v>
      </c>
      <c r="AA214" s="658">
        <v>326</v>
      </c>
      <c r="AB214" s="659">
        <v>0</v>
      </c>
      <c r="AC214" s="660">
        <v>25</v>
      </c>
      <c r="AD214" s="661"/>
      <c r="AE214" s="662"/>
      <c r="AF214" s="663">
        <f>'[1]ABRIL-JUNIO_SALAS2023'!$N$294</f>
        <v>1</v>
      </c>
      <c r="AG214" s="663">
        <f>'[1]ABRIL-JUNIO_SALAS2023'!$N$295</f>
        <v>9</v>
      </c>
      <c r="AH214" s="660">
        <v>923</v>
      </c>
      <c r="AI214" s="660">
        <v>651</v>
      </c>
      <c r="AJ214" s="654"/>
    </row>
    <row r="215" spans="26:36" ht="15.75" x14ac:dyDescent="0.25">
      <c r="Z215" s="664" t="s">
        <v>475</v>
      </c>
      <c r="AA215" s="665">
        <v>1336</v>
      </c>
      <c r="AB215" s="666">
        <v>0</v>
      </c>
      <c r="AC215" s="667">
        <v>189</v>
      </c>
      <c r="AD215" s="668"/>
      <c r="AE215" s="669"/>
      <c r="AF215" s="670">
        <f>'[1]ABRIL-JUNIO_SALAS2023'!$O$294</f>
        <v>1</v>
      </c>
      <c r="AG215" s="670">
        <f>'[1]ABRIL-JUNIO_SALAS2023'!$O$295</f>
        <v>10</v>
      </c>
      <c r="AH215" s="671">
        <v>3936</v>
      </c>
      <c r="AI215" s="672">
        <v>4254</v>
      </c>
      <c r="AJ215" s="654"/>
    </row>
    <row r="216" spans="26:36" ht="15.75" x14ac:dyDescent="0.25">
      <c r="Z216" s="664" t="s">
        <v>477</v>
      </c>
      <c r="AA216" s="665">
        <v>98</v>
      </c>
      <c r="AB216" s="667">
        <v>54</v>
      </c>
      <c r="AC216" s="667">
        <v>12</v>
      </c>
      <c r="AD216" s="668"/>
      <c r="AE216" s="669"/>
      <c r="AF216" s="670">
        <f>'[1]ABRIL-JUNIO_SALAS2023'!$P$294</f>
        <v>1</v>
      </c>
      <c r="AG216" s="670">
        <f>'[1]ABRIL-JUNIO_SALAS2023'!$P$295</f>
        <v>0</v>
      </c>
      <c r="AH216" s="667">
        <v>280</v>
      </c>
      <c r="AI216" s="672">
        <v>277</v>
      </c>
      <c r="AJ216" s="654"/>
    </row>
    <row r="217" spans="26:36" ht="15.75" x14ac:dyDescent="0.25">
      <c r="Z217" s="664" t="s">
        <v>478</v>
      </c>
      <c r="AA217" s="673">
        <v>36</v>
      </c>
      <c r="AB217" s="666">
        <v>0</v>
      </c>
      <c r="AC217" s="674">
        <v>7</v>
      </c>
      <c r="AD217" s="668"/>
      <c r="AE217" s="669"/>
      <c r="AF217" s="675"/>
      <c r="AG217" s="676"/>
      <c r="AH217" s="674">
        <v>125</v>
      </c>
      <c r="AI217" s="677">
        <v>115</v>
      </c>
      <c r="AJ217" s="654"/>
    </row>
    <row r="218" spans="26:36" ht="16.5" thickBot="1" x14ac:dyDescent="0.3">
      <c r="Z218" s="664" t="s">
        <v>479</v>
      </c>
      <c r="AA218" s="665">
        <v>138</v>
      </c>
      <c r="AB218" s="667">
        <v>86</v>
      </c>
      <c r="AC218" s="674">
        <v>46</v>
      </c>
      <c r="AD218" s="668"/>
      <c r="AE218" s="669"/>
      <c r="AF218" s="678"/>
      <c r="AG218" s="679"/>
      <c r="AH218" s="667">
        <v>881</v>
      </c>
      <c r="AI218" s="672">
        <v>813</v>
      </c>
      <c r="AJ218" s="680" t="s">
        <v>489</v>
      </c>
    </row>
    <row r="219" spans="26:36" ht="16.5" thickBot="1" x14ac:dyDescent="0.3">
      <c r="Z219" s="681" t="s">
        <v>480</v>
      </c>
      <c r="AA219" s="682">
        <v>7</v>
      </c>
      <c r="AB219" s="683">
        <v>4</v>
      </c>
      <c r="AC219" s="684">
        <v>0</v>
      </c>
      <c r="AD219" s="685"/>
      <c r="AE219" s="686"/>
      <c r="AF219" s="687">
        <f>'[1]ABRIL-JUNIO_SALAS2023'!$S$294</f>
        <v>0</v>
      </c>
      <c r="AG219" s="688"/>
      <c r="AH219" s="689">
        <v>0</v>
      </c>
      <c r="AI219" s="690">
        <v>0</v>
      </c>
      <c r="AJ219" s="691"/>
    </row>
    <row r="220" spans="26:36" ht="36.75" thickBot="1" x14ac:dyDescent="0.3">
      <c r="Z220" s="692" t="s">
        <v>481</v>
      </c>
      <c r="AA220" s="693">
        <v>421</v>
      </c>
      <c r="AB220" s="694"/>
      <c r="AC220" s="694"/>
      <c r="AD220" s="695">
        <f>'[2]T4__oct-dic 2022 INIDIC'!$T$7</f>
        <v>0</v>
      </c>
      <c r="AE220" s="695">
        <f>'[3]T1-2023'!$T$15</f>
        <v>7</v>
      </c>
      <c r="AF220" s="696">
        <f>AF215</f>
        <v>1</v>
      </c>
      <c r="AG220" s="696">
        <f>'[2]T4__oct-dic 2022 INIDIC'!$T$11</f>
        <v>31</v>
      </c>
      <c r="AH220" s="697"/>
      <c r="AI220" s="698">
        <v>640</v>
      </c>
      <c r="AJ220" s="699" t="s">
        <v>490</v>
      </c>
    </row>
    <row r="221" spans="26:36" ht="16.5" thickBot="1" x14ac:dyDescent="0.3">
      <c r="Z221" s="700" t="s">
        <v>482</v>
      </c>
      <c r="AA221" s="701">
        <v>2362</v>
      </c>
      <c r="AB221" s="702">
        <v>144</v>
      </c>
      <c r="AC221" s="702">
        <v>279</v>
      </c>
      <c r="AD221" s="702">
        <f>AD220</f>
        <v>0</v>
      </c>
      <c r="AE221" s="702">
        <f>AE220</f>
        <v>7</v>
      </c>
      <c r="AF221" s="702">
        <f>AF220+AF219</f>
        <v>1</v>
      </c>
      <c r="AG221" s="702">
        <f>AG220</f>
        <v>31</v>
      </c>
      <c r="AH221" s="703">
        <f>SUM(AH214:AH220)</f>
        <v>6145</v>
      </c>
      <c r="AI221" s="704">
        <f>SUM(AI214:AI220)</f>
        <v>6750</v>
      </c>
      <c r="AJ221" s="654"/>
    </row>
    <row r="222" spans="26:36" ht="16.5" thickBot="1" x14ac:dyDescent="0.3">
      <c r="Z222" s="705"/>
      <c r="AA222" s="700" t="s">
        <v>483</v>
      </c>
      <c r="AB222" s="706">
        <f>SUM(AB221:AG221)</f>
        <v>462</v>
      </c>
      <c r="AC222" s="707"/>
      <c r="AD222" s="707"/>
      <c r="AE222" s="707"/>
      <c r="AF222" s="707"/>
      <c r="AG222" s="708"/>
      <c r="AH222" s="705"/>
      <c r="AI222" s="709">
        <f>AI221</f>
        <v>6750</v>
      </c>
      <c r="AJ222" s="654"/>
    </row>
    <row r="223" spans="26:36" ht="39" thickBot="1" x14ac:dyDescent="0.3">
      <c r="Z223" s="710" t="s">
        <v>484</v>
      </c>
      <c r="AA223" s="706">
        <f>AA221+AB222</f>
        <v>2824</v>
      </c>
      <c r="AB223" s="707"/>
      <c r="AC223" s="707"/>
      <c r="AD223" s="707"/>
      <c r="AE223" s="707"/>
      <c r="AF223" s="707"/>
      <c r="AG223" s="708"/>
      <c r="AH223" s="705"/>
      <c r="AI223" s="711">
        <f>AI222</f>
        <v>6750</v>
      </c>
      <c r="AJ223" s="654"/>
    </row>
    <row r="224" spans="26:36" ht="15.75" x14ac:dyDescent="0.25">
      <c r="Z224" s="654"/>
      <c r="AA224" s="654"/>
      <c r="AB224" s="654"/>
      <c r="AC224" s="654"/>
      <c r="AD224" s="654"/>
      <c r="AE224" s="654"/>
      <c r="AF224" s="654"/>
      <c r="AG224" s="654"/>
      <c r="AH224" s="654"/>
      <c r="AI224" s="654"/>
      <c r="AJ224" s="654"/>
    </row>
    <row r="225" spans="26:39" ht="15.75" x14ac:dyDescent="0.25">
      <c r="Z225" s="654"/>
      <c r="AA225" s="654"/>
      <c r="AB225" s="654"/>
      <c r="AC225" s="654"/>
      <c r="AD225" s="654"/>
      <c r="AE225" s="654"/>
      <c r="AF225" s="654">
        <v>2824</v>
      </c>
      <c r="AG225" s="712" t="s">
        <v>491</v>
      </c>
      <c r="AH225" s="654">
        <v>6750</v>
      </c>
      <c r="AI225" s="654"/>
      <c r="AJ225" s="654"/>
    </row>
    <row r="226" spans="26:39" ht="16.5" thickBot="1" x14ac:dyDescent="0.3">
      <c r="Z226" s="654"/>
      <c r="AA226" s="654"/>
      <c r="AB226" s="654"/>
      <c r="AC226" s="654"/>
      <c r="AD226" s="654"/>
      <c r="AE226" s="654"/>
      <c r="AF226" s="654"/>
      <c r="AG226" s="654"/>
      <c r="AH226" s="654"/>
      <c r="AI226" s="654"/>
      <c r="AJ226" s="654"/>
    </row>
    <row r="227" spans="26:39" ht="16.5" thickBot="1" x14ac:dyDescent="0.3">
      <c r="Z227" s="654"/>
      <c r="AA227" s="654"/>
      <c r="AB227" s="654"/>
      <c r="AC227" s="654"/>
      <c r="AD227" s="654"/>
      <c r="AE227" s="713" t="s">
        <v>218</v>
      </c>
      <c r="AF227" s="713"/>
      <c r="AG227" s="654"/>
      <c r="AH227" s="654"/>
      <c r="AI227" s="714">
        <f>AA223/AI223</f>
        <v>0.41837037037037039</v>
      </c>
      <c r="AJ227" s="654"/>
    </row>
    <row r="228" spans="26:39" ht="16.5" thickBot="1" x14ac:dyDescent="0.3">
      <c r="Z228" s="654"/>
      <c r="AA228" s="654"/>
      <c r="AB228" s="654"/>
      <c r="AC228" s="654"/>
      <c r="AD228" s="654"/>
      <c r="AE228" s="713"/>
      <c r="AF228" s="713"/>
      <c r="AG228" s="654"/>
      <c r="AH228" s="654"/>
      <c r="AI228" s="715">
        <f>AI227</f>
        <v>0.41837037037037039</v>
      </c>
      <c r="AJ228" s="654"/>
    </row>
    <row r="230" spans="26:39" ht="15.75" x14ac:dyDescent="0.25">
      <c r="Z230" s="653" t="s">
        <v>486</v>
      </c>
      <c r="AA230" s="654"/>
      <c r="AB230" s="654"/>
      <c r="AC230" s="654"/>
      <c r="AD230" s="654"/>
      <c r="AE230" s="654"/>
      <c r="AF230" s="654"/>
      <c r="AG230" s="654"/>
      <c r="AH230" s="654"/>
      <c r="AI230" s="654"/>
      <c r="AJ230" s="654"/>
      <c r="AK230" s="654"/>
      <c r="AL230" s="654"/>
      <c r="AM230" s="654"/>
    </row>
    <row r="231" spans="26:39" ht="15.75" x14ac:dyDescent="0.25">
      <c r="Z231" s="655" t="s">
        <v>487</v>
      </c>
      <c r="AA231" s="654"/>
      <c r="AB231" s="654"/>
      <c r="AC231" s="654"/>
      <c r="AD231" s="654"/>
      <c r="AE231" s="654"/>
      <c r="AF231" s="654"/>
      <c r="AG231" s="654"/>
      <c r="AH231" s="654"/>
      <c r="AI231" s="654"/>
      <c r="AJ231" s="654"/>
      <c r="AK231" s="654"/>
      <c r="AL231" s="654"/>
      <c r="AM231" s="654"/>
    </row>
    <row r="232" spans="26:39" ht="16.5" thickBot="1" x14ac:dyDescent="0.3">
      <c r="Z232" s="654"/>
      <c r="AA232" s="654"/>
      <c r="AB232" s="654"/>
      <c r="AC232" s="654"/>
      <c r="AD232" s="654"/>
      <c r="AE232" s="654"/>
      <c r="AF232" s="654"/>
      <c r="AG232" s="654"/>
      <c r="AH232" s="654"/>
      <c r="AI232" s="654"/>
      <c r="AJ232" s="654"/>
      <c r="AK232" s="654"/>
      <c r="AL232" s="654"/>
      <c r="AM232" s="654"/>
    </row>
    <row r="233" spans="26:39" ht="69.75" thickBot="1" x14ac:dyDescent="0.35">
      <c r="Z233" s="716"/>
      <c r="AA233" s="717" t="s">
        <v>462</v>
      </c>
      <c r="AB233" s="718" t="s">
        <v>463</v>
      </c>
      <c r="AC233" s="718" t="s">
        <v>464</v>
      </c>
      <c r="AD233" s="718" t="s">
        <v>465</v>
      </c>
      <c r="AE233" s="718" t="s">
        <v>466</v>
      </c>
      <c r="AF233" s="719" t="s">
        <v>467</v>
      </c>
      <c r="AG233" s="719" t="s">
        <v>468</v>
      </c>
      <c r="AH233" s="720" t="s">
        <v>469</v>
      </c>
      <c r="AI233" s="721" t="s">
        <v>470</v>
      </c>
      <c r="AJ233" s="656"/>
      <c r="AK233" s="656"/>
      <c r="AL233" s="656"/>
      <c r="AM233" s="656"/>
    </row>
    <row r="234" spans="26:39" ht="19.5" x14ac:dyDescent="0.3">
      <c r="Z234" s="722" t="s">
        <v>474</v>
      </c>
      <c r="AA234" s="723">
        <v>233</v>
      </c>
      <c r="AB234" s="724">
        <v>0</v>
      </c>
      <c r="AC234" s="725">
        <f>'[4]JULIO- SEPTIEMBRE 2023 '!$AB$67</f>
        <v>14</v>
      </c>
      <c r="AD234" s="726"/>
      <c r="AE234" s="727"/>
      <c r="AF234" s="728">
        <f>[5]cifras_SALAS2023!$N$294</f>
        <v>2</v>
      </c>
      <c r="AG234" s="728">
        <f>'[6]JULIO-SEPT_SALAS2023'!$N$295</f>
        <v>16</v>
      </c>
      <c r="AH234" s="725">
        <v>905</v>
      </c>
      <c r="AI234" s="725">
        <v>588</v>
      </c>
      <c r="AJ234" s="654"/>
      <c r="AK234" s="654"/>
      <c r="AL234" s="654"/>
      <c r="AM234" s="654"/>
    </row>
    <row r="235" spans="26:39" ht="19.5" x14ac:dyDescent="0.3">
      <c r="Z235" s="729" t="s">
        <v>475</v>
      </c>
      <c r="AA235" s="730">
        <v>1109</v>
      </c>
      <c r="AB235" s="731">
        <v>0</v>
      </c>
      <c r="AC235" s="732">
        <f>'[4]JULIO- SEPTIEMBRE 2023 '!$AB$157</f>
        <v>150</v>
      </c>
      <c r="AD235" s="733"/>
      <c r="AE235" s="734"/>
      <c r="AF235" s="735">
        <f>[5]cifras_SALAS2023!$O$294</f>
        <v>1</v>
      </c>
      <c r="AG235" s="735">
        <f>'[6]JULIO-SEPT_SALAS2023'!$O$295</f>
        <v>16</v>
      </c>
      <c r="AH235" s="736">
        <v>3540</v>
      </c>
      <c r="AI235" s="737">
        <v>3634</v>
      </c>
      <c r="AJ235" s="654"/>
      <c r="AK235" s="654"/>
      <c r="AL235" s="654"/>
      <c r="AM235" s="654"/>
    </row>
    <row r="236" spans="26:39" ht="19.5" x14ac:dyDescent="0.3">
      <c r="Z236" s="729" t="s">
        <v>477</v>
      </c>
      <c r="AA236" s="730">
        <v>46</v>
      </c>
      <c r="AB236" s="732">
        <f>'[4]JULIO- SEPTIEMBRE 2023 '!$AB$241</f>
        <v>23</v>
      </c>
      <c r="AC236" s="732">
        <f>'[4]JULIO- SEPTIEMBRE 2023 '!$AB$240</f>
        <v>4</v>
      </c>
      <c r="AD236" s="733"/>
      <c r="AE236" s="734"/>
      <c r="AF236" s="735">
        <f>[5]cifras_SALAS2023!$P$294</f>
        <v>0</v>
      </c>
      <c r="AG236" s="735">
        <f>'[6]JULIO-SEPT_SALAS2023'!$P$295</f>
        <v>0</v>
      </c>
      <c r="AH236" s="732">
        <v>296</v>
      </c>
      <c r="AI236" s="737">
        <v>285</v>
      </c>
      <c r="AJ236" s="654"/>
      <c r="AK236" s="738" t="s">
        <v>492</v>
      </c>
      <c r="AL236" s="739"/>
      <c r="AM236" s="739"/>
    </row>
    <row r="237" spans="26:39" ht="15.75" x14ac:dyDescent="0.25">
      <c r="Z237" s="729" t="s">
        <v>478</v>
      </c>
      <c r="AA237" s="740">
        <v>15</v>
      </c>
      <c r="AB237" s="731">
        <v>0</v>
      </c>
      <c r="AC237" s="741">
        <f>'[4]JULIO- SEPTIEMBRE 2023 '!$G$397</f>
        <v>10</v>
      </c>
      <c r="AD237" s="733"/>
      <c r="AE237" s="734"/>
      <c r="AF237" s="742"/>
      <c r="AG237" s="743"/>
      <c r="AH237" s="741">
        <v>123</v>
      </c>
      <c r="AI237" s="744">
        <v>118</v>
      </c>
      <c r="AJ237" s="654"/>
      <c r="AK237" s="739"/>
      <c r="AL237" s="739"/>
      <c r="AM237" s="739"/>
    </row>
    <row r="238" spans="26:39" ht="20.25" thickBot="1" x14ac:dyDescent="0.35">
      <c r="Z238" s="729" t="s">
        <v>479</v>
      </c>
      <c r="AA238" s="730">
        <v>115</v>
      </c>
      <c r="AB238" s="745">
        <f>'[4]JULIO- SEPTIEMBRE 2023 '!$G$449</f>
        <v>143</v>
      </c>
      <c r="AC238" s="741">
        <f>'[4]JULIO- SEPTIEMBRE 2023 '!$G$448</f>
        <v>67</v>
      </c>
      <c r="AD238" s="733"/>
      <c r="AE238" s="734"/>
      <c r="AF238" s="746"/>
      <c r="AG238" s="747"/>
      <c r="AH238" s="732">
        <v>807</v>
      </c>
      <c r="AI238" s="737">
        <v>727</v>
      </c>
      <c r="AJ238" s="680" t="s">
        <v>489</v>
      </c>
      <c r="AK238" s="739"/>
      <c r="AL238" s="739"/>
      <c r="AM238" s="739"/>
    </row>
    <row r="239" spans="26:39" ht="16.5" thickBot="1" x14ac:dyDescent="0.3">
      <c r="Z239" s="748" t="s">
        <v>480</v>
      </c>
      <c r="AA239" s="749">
        <v>15</v>
      </c>
      <c r="AB239" s="750">
        <f>'[7]ABRIL-JUNIO2023'!$B$616</f>
        <v>4</v>
      </c>
      <c r="AC239" s="751">
        <v>0</v>
      </c>
      <c r="AD239" s="752"/>
      <c r="AE239" s="753"/>
      <c r="AF239" s="754">
        <f>[5]cifras_SALAS2023!$S$294</f>
        <v>0</v>
      </c>
      <c r="AG239" s="755"/>
      <c r="AH239" s="756">
        <v>0</v>
      </c>
      <c r="AI239" s="757">
        <v>0</v>
      </c>
      <c r="AJ239" s="691"/>
      <c r="AK239" s="739"/>
      <c r="AL239" s="739"/>
      <c r="AM239" s="739"/>
    </row>
    <row r="240" spans="26:39" ht="36.75" thickBot="1" x14ac:dyDescent="0.35">
      <c r="Z240" s="758" t="s">
        <v>481</v>
      </c>
      <c r="AA240" s="759">
        <f>'[6]JULIO-SEPT_SALAS2023'!$T$308</f>
        <v>382</v>
      </c>
      <c r="AB240" s="760"/>
      <c r="AC240" s="760"/>
      <c r="AD240" s="761">
        <f>'[2]T4__oct-dic 2022 INIDIC'!$T$7</f>
        <v>0</v>
      </c>
      <c r="AE240" s="761">
        <v>0</v>
      </c>
      <c r="AF240" s="762">
        <v>3</v>
      </c>
      <c r="AG240" s="762">
        <f>'[2]T4__oct-dic 2022 INIDIC'!$T$11</f>
        <v>31</v>
      </c>
      <c r="AH240" s="763"/>
      <c r="AI240" s="764">
        <f>'[6]JULIO-SEPT_SALAS2023'!$T$289-'[6]JULIO-SEPT_SALAS2023'!$S$289-'[6]JULIO-SEPT_SALAS2023'!$Q$289</f>
        <v>438</v>
      </c>
      <c r="AJ240" s="699" t="s">
        <v>490</v>
      </c>
      <c r="AK240" s="739"/>
      <c r="AL240" s="739"/>
      <c r="AM240" s="739"/>
    </row>
    <row r="241" spans="26:39" ht="21.75" thickBot="1" x14ac:dyDescent="0.4">
      <c r="Z241" s="765" t="s">
        <v>482</v>
      </c>
      <c r="AA241" s="766">
        <f>SUM(AA234:AA240)</f>
        <v>1915</v>
      </c>
      <c r="AB241" s="767">
        <f>SUM(AB234:AB240)</f>
        <v>170</v>
      </c>
      <c r="AC241" s="767">
        <f>SUM(AC234:AC240)</f>
        <v>245</v>
      </c>
      <c r="AD241" s="767">
        <f>AD240</f>
        <v>0</v>
      </c>
      <c r="AE241" s="767">
        <f>AE240</f>
        <v>0</v>
      </c>
      <c r="AF241" s="767">
        <f>AF240+AF239</f>
        <v>3</v>
      </c>
      <c r="AG241" s="767">
        <f>AG240</f>
        <v>31</v>
      </c>
      <c r="AH241" s="768">
        <f>SUM(AH234:AH240)</f>
        <v>5671</v>
      </c>
      <c r="AI241" s="769">
        <f>SUM(AI234:AI240)</f>
        <v>5790</v>
      </c>
      <c r="AJ241" s="654"/>
      <c r="AK241" s="739"/>
      <c r="AL241" s="739"/>
      <c r="AM241" s="739"/>
    </row>
    <row r="242" spans="26:39" ht="20.25" thickBot="1" x14ac:dyDescent="0.35">
      <c r="Z242" s="654"/>
      <c r="AA242" s="765" t="s">
        <v>483</v>
      </c>
      <c r="AB242" s="770">
        <f>SUM(AB241:AG241)</f>
        <v>449</v>
      </c>
      <c r="AC242" s="771"/>
      <c r="AD242" s="771"/>
      <c r="AE242" s="771"/>
      <c r="AF242" s="771"/>
      <c r="AG242" s="772"/>
      <c r="AH242" s="654"/>
      <c r="AI242" s="773">
        <f>AI241</f>
        <v>5790</v>
      </c>
      <c r="AJ242" s="654"/>
      <c r="AK242" s="654"/>
      <c r="AL242" s="654"/>
      <c r="AM242" s="654"/>
    </row>
    <row r="243" spans="26:39" ht="65.25" thickBot="1" x14ac:dyDescent="0.4">
      <c r="Z243" s="774" t="s">
        <v>484</v>
      </c>
      <c r="AA243" s="775">
        <f>AA241+AB242</f>
        <v>2364</v>
      </c>
      <c r="AB243" s="776"/>
      <c r="AC243" s="776"/>
      <c r="AD243" s="776"/>
      <c r="AE243" s="776"/>
      <c r="AF243" s="776"/>
      <c r="AG243" s="777"/>
      <c r="AH243" s="654"/>
      <c r="AI243" s="778">
        <f>AI242</f>
        <v>5790</v>
      </c>
      <c r="AJ243" s="654"/>
      <c r="AK243" s="779" t="s">
        <v>493</v>
      </c>
      <c r="AL243" s="654"/>
      <c r="AM243" s="654"/>
    </row>
    <row r="244" spans="26:39" ht="15.75" x14ac:dyDescent="0.25">
      <c r="Z244" s="654"/>
      <c r="AA244" s="654"/>
      <c r="AB244" s="654"/>
      <c r="AC244" s="654"/>
      <c r="AD244" s="654"/>
      <c r="AE244" s="654"/>
      <c r="AF244" s="654"/>
      <c r="AG244" s="654"/>
      <c r="AH244" s="654"/>
      <c r="AI244" s="654"/>
      <c r="AJ244" s="654"/>
      <c r="AK244" s="654"/>
      <c r="AL244" s="654"/>
      <c r="AM244" s="654"/>
    </row>
    <row r="245" spans="26:39" ht="15.75" x14ac:dyDescent="0.25">
      <c r="Z245" s="654"/>
      <c r="AA245" s="654"/>
      <c r="AB245" s="654"/>
      <c r="AC245" s="654"/>
      <c r="AD245" s="780" t="s">
        <v>494</v>
      </c>
      <c r="AE245" s="781" t="s">
        <v>495</v>
      </c>
      <c r="AF245" s="654">
        <v>2677</v>
      </c>
      <c r="AG245" s="712" t="s">
        <v>491</v>
      </c>
      <c r="AH245" s="654">
        <v>7676</v>
      </c>
      <c r="AI245" s="654">
        <f>AF245/AH245</f>
        <v>0.34874934861907242</v>
      </c>
      <c r="AJ245" s="654"/>
      <c r="AK245" s="782"/>
      <c r="AL245" s="654"/>
      <c r="AM245" s="654"/>
    </row>
    <row r="246" spans="26:39" ht="15.75" x14ac:dyDescent="0.25">
      <c r="Z246" s="654"/>
      <c r="AA246" s="654"/>
      <c r="AB246" s="654"/>
      <c r="AC246" s="654"/>
      <c r="AD246" s="780"/>
      <c r="AE246" s="781" t="s">
        <v>496</v>
      </c>
      <c r="AF246" s="654">
        <v>2785</v>
      </c>
      <c r="AG246" s="712" t="s">
        <v>491</v>
      </c>
      <c r="AH246" s="654">
        <v>6706</v>
      </c>
      <c r="AI246" s="654">
        <f t="shared" ref="AI246:AI247" si="28">AF246/AH246</f>
        <v>0.41529973158365641</v>
      </c>
      <c r="AJ246" s="654"/>
      <c r="AK246" s="654"/>
      <c r="AL246" s="654"/>
      <c r="AM246" s="654"/>
    </row>
    <row r="247" spans="26:39" ht="15.75" x14ac:dyDescent="0.25">
      <c r="Z247" s="654"/>
      <c r="AA247" s="654"/>
      <c r="AB247" s="654"/>
      <c r="AC247" s="654"/>
      <c r="AD247" s="780"/>
      <c r="AE247" s="783" t="s">
        <v>497</v>
      </c>
      <c r="AF247" s="783">
        <f>AA243</f>
        <v>2364</v>
      </c>
      <c r="AG247" s="784" t="s">
        <v>491</v>
      </c>
      <c r="AH247" s="785">
        <f>AI243</f>
        <v>5790</v>
      </c>
      <c r="AI247" s="785">
        <f t="shared" si="28"/>
        <v>0.40829015544041453</v>
      </c>
      <c r="AJ247" s="654"/>
      <c r="AK247" s="654"/>
      <c r="AL247" s="654"/>
      <c r="AM247" s="654"/>
    </row>
    <row r="248" spans="26:39" ht="16.5" thickBot="1" x14ac:dyDescent="0.3">
      <c r="Z248" s="654"/>
      <c r="AA248" s="654"/>
      <c r="AB248" s="654"/>
      <c r="AC248" s="654"/>
      <c r="AD248" s="780"/>
      <c r="AE248" s="781" t="s">
        <v>498</v>
      </c>
      <c r="AF248" s="781"/>
      <c r="AG248" s="712" t="s">
        <v>491</v>
      </c>
      <c r="AH248" s="654"/>
      <c r="AI248" s="654"/>
      <c r="AJ248" s="654"/>
      <c r="AK248" s="654"/>
      <c r="AL248" s="654"/>
      <c r="AM248" s="654"/>
    </row>
    <row r="249" spans="26:39" ht="19.5" thickBot="1" x14ac:dyDescent="0.35">
      <c r="Z249" s="654"/>
      <c r="AA249" s="654"/>
      <c r="AB249" s="654"/>
      <c r="AC249" s="654"/>
      <c r="AD249" s="654"/>
      <c r="AE249" s="713" t="s">
        <v>218</v>
      </c>
      <c r="AF249" s="713"/>
      <c r="AG249" s="654"/>
      <c r="AH249" s="654"/>
      <c r="AI249" s="786">
        <f>AA243/AI243</f>
        <v>0.40829015544041453</v>
      </c>
      <c r="AJ249" s="654"/>
      <c r="AK249" s="654"/>
      <c r="AL249" s="654"/>
      <c r="AM249" s="654"/>
    </row>
    <row r="250" spans="26:39" ht="19.5" thickBot="1" x14ac:dyDescent="0.3">
      <c r="Z250" s="654"/>
      <c r="AA250" s="654"/>
      <c r="AB250" s="654"/>
      <c r="AC250" s="654"/>
      <c r="AD250" s="654"/>
      <c r="AE250" s="713"/>
      <c r="AF250" s="713"/>
      <c r="AG250" s="654"/>
      <c r="AH250" s="654"/>
      <c r="AI250" s="787">
        <f>AI249</f>
        <v>0.40829015544041453</v>
      </c>
      <c r="AJ250" s="654"/>
      <c r="AK250" s="654"/>
      <c r="AL250" s="654"/>
      <c r="AM250" s="654"/>
    </row>
  </sheetData>
  <mergeCells count="963">
    <mergeCell ref="AD245:AD248"/>
    <mergeCell ref="AE249:AF250"/>
    <mergeCell ref="AB222:AG222"/>
    <mergeCell ref="AA223:AG223"/>
    <mergeCell ref="AE227:AF228"/>
    <mergeCell ref="AK236:AM241"/>
    <mergeCell ref="AB242:AG242"/>
    <mergeCell ref="AA243:AG243"/>
    <mergeCell ref="Z195:AI195"/>
    <mergeCell ref="BB198:BB201"/>
    <mergeCell ref="AB205:AG205"/>
    <mergeCell ref="AA206:AH206"/>
    <mergeCell ref="AA207:AH207"/>
    <mergeCell ref="Z212:AI212"/>
    <mergeCell ref="L192:L194"/>
    <mergeCell ref="M192:M194"/>
    <mergeCell ref="T192:T194"/>
    <mergeCell ref="U192:U194"/>
    <mergeCell ref="V192:V194"/>
    <mergeCell ref="W192:W194"/>
    <mergeCell ref="N193:O193"/>
    <mergeCell ref="N194:O194"/>
    <mergeCell ref="D192:D194"/>
    <mergeCell ref="E192:F194"/>
    <mergeCell ref="G192:H194"/>
    <mergeCell ref="I192:I194"/>
    <mergeCell ref="J192:J194"/>
    <mergeCell ref="K192:K194"/>
    <mergeCell ref="L189:L191"/>
    <mergeCell ref="M189:M191"/>
    <mergeCell ref="T189:T191"/>
    <mergeCell ref="U189:U191"/>
    <mergeCell ref="V189:V191"/>
    <mergeCell ref="W189:W191"/>
    <mergeCell ref="N190:O190"/>
    <mergeCell ref="N191:O191"/>
    <mergeCell ref="V186:V188"/>
    <mergeCell ref="W186:W188"/>
    <mergeCell ref="N187:O187"/>
    <mergeCell ref="N188:O188"/>
    <mergeCell ref="D189:D191"/>
    <mergeCell ref="E189:F191"/>
    <mergeCell ref="G189:H191"/>
    <mergeCell ref="I189:I191"/>
    <mergeCell ref="J189:J191"/>
    <mergeCell ref="K189:K191"/>
    <mergeCell ref="J186:J188"/>
    <mergeCell ref="K186:K188"/>
    <mergeCell ref="L186:L188"/>
    <mergeCell ref="M186:M188"/>
    <mergeCell ref="T186:T188"/>
    <mergeCell ref="U186:U188"/>
    <mergeCell ref="V183:V185"/>
    <mergeCell ref="W183:W185"/>
    <mergeCell ref="N184:O184"/>
    <mergeCell ref="N185:O185"/>
    <mergeCell ref="B186:B194"/>
    <mergeCell ref="C186:C194"/>
    <mergeCell ref="D186:D188"/>
    <mergeCell ref="E186:F188"/>
    <mergeCell ref="G186:H188"/>
    <mergeCell ref="I186:I188"/>
    <mergeCell ref="J183:J185"/>
    <mergeCell ref="K183:K185"/>
    <mergeCell ref="L183:L185"/>
    <mergeCell ref="M183:M185"/>
    <mergeCell ref="T183:T185"/>
    <mergeCell ref="U183:U185"/>
    <mergeCell ref="V180:V182"/>
    <mergeCell ref="W180:W182"/>
    <mergeCell ref="N181:O181"/>
    <mergeCell ref="N182:O182"/>
    <mergeCell ref="B183:B185"/>
    <mergeCell ref="C183:C185"/>
    <mergeCell ref="D183:D185"/>
    <mergeCell ref="E183:F185"/>
    <mergeCell ref="G183:H185"/>
    <mergeCell ref="I183:I185"/>
    <mergeCell ref="J180:J182"/>
    <mergeCell ref="K180:K182"/>
    <mergeCell ref="L180:L182"/>
    <mergeCell ref="M180:M182"/>
    <mergeCell ref="T180:T182"/>
    <mergeCell ref="U180:U182"/>
    <mergeCell ref="B180:B182"/>
    <mergeCell ref="C180:C182"/>
    <mergeCell ref="D180:D182"/>
    <mergeCell ref="E180:F182"/>
    <mergeCell ref="G180:H182"/>
    <mergeCell ref="I180:I182"/>
    <mergeCell ref="T177:T179"/>
    <mergeCell ref="U177:U179"/>
    <mergeCell ref="V177:V179"/>
    <mergeCell ref="W177:W179"/>
    <mergeCell ref="N178:O178"/>
    <mergeCell ref="N179:O179"/>
    <mergeCell ref="G177:H179"/>
    <mergeCell ref="I177:I179"/>
    <mergeCell ref="J177:J179"/>
    <mergeCell ref="K177:K179"/>
    <mergeCell ref="L177:L179"/>
    <mergeCell ref="M177:M179"/>
    <mergeCell ref="M174:M176"/>
    <mergeCell ref="T174:T176"/>
    <mergeCell ref="U174:U176"/>
    <mergeCell ref="V174:V176"/>
    <mergeCell ref="W174:W176"/>
    <mergeCell ref="N175:O175"/>
    <mergeCell ref="N176:O176"/>
    <mergeCell ref="W171:W173"/>
    <mergeCell ref="N172:O172"/>
    <mergeCell ref="N173:O173"/>
    <mergeCell ref="D174:D176"/>
    <mergeCell ref="E174:F176"/>
    <mergeCell ref="G174:H176"/>
    <mergeCell ref="I174:I176"/>
    <mergeCell ref="J174:J176"/>
    <mergeCell ref="K174:K176"/>
    <mergeCell ref="L174:L176"/>
    <mergeCell ref="K171:K173"/>
    <mergeCell ref="L171:L173"/>
    <mergeCell ref="M171:M173"/>
    <mergeCell ref="T171:T173"/>
    <mergeCell ref="U171:U173"/>
    <mergeCell ref="V171:V173"/>
    <mergeCell ref="U168:U170"/>
    <mergeCell ref="V168:V170"/>
    <mergeCell ref="W168:W170"/>
    <mergeCell ref="N169:O169"/>
    <mergeCell ref="N170:O170"/>
    <mergeCell ref="D171:D173"/>
    <mergeCell ref="E171:F173"/>
    <mergeCell ref="G171:H173"/>
    <mergeCell ref="I171:I173"/>
    <mergeCell ref="J171:J173"/>
    <mergeCell ref="I168:I170"/>
    <mergeCell ref="J168:J170"/>
    <mergeCell ref="K168:K170"/>
    <mergeCell ref="L168:L170"/>
    <mergeCell ref="M168:M170"/>
    <mergeCell ref="T168:T170"/>
    <mergeCell ref="A168:A192"/>
    <mergeCell ref="B168:B176"/>
    <mergeCell ref="C168:C176"/>
    <mergeCell ref="D168:D170"/>
    <mergeCell ref="E168:F170"/>
    <mergeCell ref="G168:H170"/>
    <mergeCell ref="B177:B179"/>
    <mergeCell ref="C177:C179"/>
    <mergeCell ref="D177:D179"/>
    <mergeCell ref="E177:F179"/>
    <mergeCell ref="L165:L167"/>
    <mergeCell ref="M165:M167"/>
    <mergeCell ref="T165:T167"/>
    <mergeCell ref="U165:U167"/>
    <mergeCell ref="V165:V167"/>
    <mergeCell ref="W165:W167"/>
    <mergeCell ref="N166:O166"/>
    <mergeCell ref="N167:O167"/>
    <mergeCell ref="D165:D167"/>
    <mergeCell ref="E165:F167"/>
    <mergeCell ref="G165:H167"/>
    <mergeCell ref="I165:I167"/>
    <mergeCell ref="J165:J167"/>
    <mergeCell ref="K165:K167"/>
    <mergeCell ref="L162:L164"/>
    <mergeCell ref="M162:M164"/>
    <mergeCell ref="T162:T164"/>
    <mergeCell ref="U162:U164"/>
    <mergeCell ref="V162:V164"/>
    <mergeCell ref="W162:W164"/>
    <mergeCell ref="N163:O163"/>
    <mergeCell ref="N164:O164"/>
    <mergeCell ref="V159:V161"/>
    <mergeCell ref="W159:W161"/>
    <mergeCell ref="N160:O160"/>
    <mergeCell ref="N161:O161"/>
    <mergeCell ref="D162:D164"/>
    <mergeCell ref="E162:F164"/>
    <mergeCell ref="G162:H164"/>
    <mergeCell ref="I162:I164"/>
    <mergeCell ref="J162:J164"/>
    <mergeCell ref="K162:K164"/>
    <mergeCell ref="J159:J161"/>
    <mergeCell ref="K159:K161"/>
    <mergeCell ref="L159:L161"/>
    <mergeCell ref="M159:M161"/>
    <mergeCell ref="T159:T161"/>
    <mergeCell ref="U159:U161"/>
    <mergeCell ref="V156:V158"/>
    <mergeCell ref="W156:W158"/>
    <mergeCell ref="N157:O157"/>
    <mergeCell ref="N158:O158"/>
    <mergeCell ref="B159:B167"/>
    <mergeCell ref="C159:C167"/>
    <mergeCell ref="D159:D161"/>
    <mergeCell ref="E159:F161"/>
    <mergeCell ref="G159:H161"/>
    <mergeCell ref="I159:I161"/>
    <mergeCell ref="J156:J158"/>
    <mergeCell ref="K156:K158"/>
    <mergeCell ref="L156:L158"/>
    <mergeCell ref="M156:M158"/>
    <mergeCell ref="T156:T158"/>
    <mergeCell ref="U156:U158"/>
    <mergeCell ref="V153:V155"/>
    <mergeCell ref="W153:W155"/>
    <mergeCell ref="N154:O154"/>
    <mergeCell ref="N155:O155"/>
    <mergeCell ref="B156:B158"/>
    <mergeCell ref="C156:C158"/>
    <mergeCell ref="D156:D158"/>
    <mergeCell ref="E156:F158"/>
    <mergeCell ref="G156:H158"/>
    <mergeCell ref="I156:I158"/>
    <mergeCell ref="J153:J155"/>
    <mergeCell ref="K153:K155"/>
    <mergeCell ref="L153:L155"/>
    <mergeCell ref="M153:M155"/>
    <mergeCell ref="T153:T155"/>
    <mergeCell ref="U153:U155"/>
    <mergeCell ref="B153:B155"/>
    <mergeCell ref="C153:C155"/>
    <mergeCell ref="D153:D155"/>
    <mergeCell ref="E153:F155"/>
    <mergeCell ref="G153:H155"/>
    <mergeCell ref="I153:I155"/>
    <mergeCell ref="T150:T152"/>
    <mergeCell ref="U150:U152"/>
    <mergeCell ref="V150:V152"/>
    <mergeCell ref="W150:W152"/>
    <mergeCell ref="N151:O151"/>
    <mergeCell ref="N152:O152"/>
    <mergeCell ref="G150:H152"/>
    <mergeCell ref="I150:I152"/>
    <mergeCell ref="J150:J152"/>
    <mergeCell ref="K150:K152"/>
    <mergeCell ref="L150:L152"/>
    <mergeCell ref="M150:M152"/>
    <mergeCell ref="M147:M149"/>
    <mergeCell ref="T147:T149"/>
    <mergeCell ref="U147:U149"/>
    <mergeCell ref="V147:V149"/>
    <mergeCell ref="W147:W149"/>
    <mergeCell ref="N148:O148"/>
    <mergeCell ref="N149:O149"/>
    <mergeCell ref="W144:W146"/>
    <mergeCell ref="N145:O145"/>
    <mergeCell ref="N146:O146"/>
    <mergeCell ref="D147:D149"/>
    <mergeCell ref="E147:F149"/>
    <mergeCell ref="G147:H149"/>
    <mergeCell ref="I147:I149"/>
    <mergeCell ref="J147:J149"/>
    <mergeCell ref="K147:K149"/>
    <mergeCell ref="L147:L149"/>
    <mergeCell ref="K144:K146"/>
    <mergeCell ref="L144:L146"/>
    <mergeCell ref="M144:M146"/>
    <mergeCell ref="T144:T146"/>
    <mergeCell ref="U144:U146"/>
    <mergeCell ref="V144:V146"/>
    <mergeCell ref="U141:U143"/>
    <mergeCell ref="V141:V143"/>
    <mergeCell ref="W141:W143"/>
    <mergeCell ref="N142:O142"/>
    <mergeCell ref="N143:O143"/>
    <mergeCell ref="D144:D146"/>
    <mergeCell ref="E144:F146"/>
    <mergeCell ref="G144:H146"/>
    <mergeCell ref="I144:I146"/>
    <mergeCell ref="J144:J146"/>
    <mergeCell ref="I141:I143"/>
    <mergeCell ref="J141:J143"/>
    <mergeCell ref="K141:K143"/>
    <mergeCell ref="L141:L143"/>
    <mergeCell ref="M141:M143"/>
    <mergeCell ref="T141:T143"/>
    <mergeCell ref="A141:A165"/>
    <mergeCell ref="B141:B149"/>
    <mergeCell ref="C141:C149"/>
    <mergeCell ref="D141:D143"/>
    <mergeCell ref="E141:F143"/>
    <mergeCell ref="G141:H143"/>
    <mergeCell ref="B150:B152"/>
    <mergeCell ref="C150:C152"/>
    <mergeCell ref="D150:D152"/>
    <mergeCell ref="E150:F152"/>
    <mergeCell ref="L138:L140"/>
    <mergeCell ref="M138:M140"/>
    <mergeCell ref="T138:T140"/>
    <mergeCell ref="U138:U140"/>
    <mergeCell ref="V138:V140"/>
    <mergeCell ref="W138:W140"/>
    <mergeCell ref="N139:O139"/>
    <mergeCell ref="N140:O140"/>
    <mergeCell ref="D138:D140"/>
    <mergeCell ref="E138:F140"/>
    <mergeCell ref="G138:H140"/>
    <mergeCell ref="I138:I140"/>
    <mergeCell ref="J138:J140"/>
    <mergeCell ref="K138:K140"/>
    <mergeCell ref="L135:L137"/>
    <mergeCell ref="M135:M137"/>
    <mergeCell ref="T135:T137"/>
    <mergeCell ref="U135:U137"/>
    <mergeCell ref="V135:V137"/>
    <mergeCell ref="W135:W137"/>
    <mergeCell ref="N136:O136"/>
    <mergeCell ref="N137:O137"/>
    <mergeCell ref="V132:V134"/>
    <mergeCell ref="W132:W134"/>
    <mergeCell ref="N133:O133"/>
    <mergeCell ref="N134:O134"/>
    <mergeCell ref="D135:D137"/>
    <mergeCell ref="E135:F137"/>
    <mergeCell ref="G135:H137"/>
    <mergeCell ref="I135:I137"/>
    <mergeCell ref="J135:J137"/>
    <mergeCell ref="K135:K137"/>
    <mergeCell ref="J132:J134"/>
    <mergeCell ref="K132:K134"/>
    <mergeCell ref="L132:L134"/>
    <mergeCell ref="M132:M134"/>
    <mergeCell ref="T132:T134"/>
    <mergeCell ref="U132:U134"/>
    <mergeCell ref="V129:V131"/>
    <mergeCell ref="W129:W131"/>
    <mergeCell ref="N130:O130"/>
    <mergeCell ref="N131:O131"/>
    <mergeCell ref="B132:B140"/>
    <mergeCell ref="C132:C140"/>
    <mergeCell ref="D132:D134"/>
    <mergeCell ref="E132:F134"/>
    <mergeCell ref="G132:H134"/>
    <mergeCell ref="I132:I134"/>
    <mergeCell ref="J129:J131"/>
    <mergeCell ref="K129:K131"/>
    <mergeCell ref="L129:L131"/>
    <mergeCell ref="M129:M131"/>
    <mergeCell ref="T129:T131"/>
    <mergeCell ref="U129:U131"/>
    <mergeCell ref="V126:V128"/>
    <mergeCell ref="W126:W128"/>
    <mergeCell ref="N127:O127"/>
    <mergeCell ref="N128:O128"/>
    <mergeCell ref="B129:B131"/>
    <mergeCell ref="C129:C131"/>
    <mergeCell ref="D129:D131"/>
    <mergeCell ref="E129:F131"/>
    <mergeCell ref="G129:H131"/>
    <mergeCell ref="I129:I131"/>
    <mergeCell ref="J126:J128"/>
    <mergeCell ref="K126:K128"/>
    <mergeCell ref="L126:L128"/>
    <mergeCell ref="M126:M128"/>
    <mergeCell ref="T126:T128"/>
    <mergeCell ref="U126:U128"/>
    <mergeCell ref="B126:B128"/>
    <mergeCell ref="C126:C128"/>
    <mergeCell ref="D126:D128"/>
    <mergeCell ref="E126:F128"/>
    <mergeCell ref="G126:H128"/>
    <mergeCell ref="I126:I128"/>
    <mergeCell ref="T123:T125"/>
    <mergeCell ref="U123:U125"/>
    <mergeCell ref="V123:V125"/>
    <mergeCell ref="W123:W125"/>
    <mergeCell ref="N124:O124"/>
    <mergeCell ref="N125:O125"/>
    <mergeCell ref="G123:H125"/>
    <mergeCell ref="I123:I125"/>
    <mergeCell ref="J123:J125"/>
    <mergeCell ref="K123:K125"/>
    <mergeCell ref="L123:L125"/>
    <mergeCell ref="M123:M125"/>
    <mergeCell ref="M120:M122"/>
    <mergeCell ref="T120:T122"/>
    <mergeCell ref="U120:U122"/>
    <mergeCell ref="V120:V122"/>
    <mergeCell ref="W120:W122"/>
    <mergeCell ref="N121:O121"/>
    <mergeCell ref="N122:O122"/>
    <mergeCell ref="W117:W119"/>
    <mergeCell ref="N118:O118"/>
    <mergeCell ref="N119:O119"/>
    <mergeCell ref="D120:D122"/>
    <mergeCell ref="E120:F122"/>
    <mergeCell ref="G120:H122"/>
    <mergeCell ref="I120:I122"/>
    <mergeCell ref="J120:J122"/>
    <mergeCell ref="K120:K122"/>
    <mergeCell ref="L120:L122"/>
    <mergeCell ref="K117:K119"/>
    <mergeCell ref="L117:L119"/>
    <mergeCell ref="M117:M119"/>
    <mergeCell ref="T117:T119"/>
    <mergeCell ref="U117:U119"/>
    <mergeCell ref="V117:V119"/>
    <mergeCell ref="U114:U116"/>
    <mergeCell ref="V114:V116"/>
    <mergeCell ref="W114:W116"/>
    <mergeCell ref="N115:O115"/>
    <mergeCell ref="N116:O116"/>
    <mergeCell ref="D117:D119"/>
    <mergeCell ref="E117:F119"/>
    <mergeCell ref="G117:H119"/>
    <mergeCell ref="I117:I119"/>
    <mergeCell ref="J117:J119"/>
    <mergeCell ref="I114:I116"/>
    <mergeCell ref="J114:J116"/>
    <mergeCell ref="K114:K116"/>
    <mergeCell ref="L114:L116"/>
    <mergeCell ref="M114:M116"/>
    <mergeCell ref="T114:T116"/>
    <mergeCell ref="A114:A138"/>
    <mergeCell ref="B114:B122"/>
    <mergeCell ref="C114:C122"/>
    <mergeCell ref="D114:D116"/>
    <mergeCell ref="E114:F116"/>
    <mergeCell ref="G114:H116"/>
    <mergeCell ref="B123:B125"/>
    <mergeCell ref="C123:C125"/>
    <mergeCell ref="D123:D125"/>
    <mergeCell ref="E123:F125"/>
    <mergeCell ref="L111:L113"/>
    <mergeCell ref="M111:M113"/>
    <mergeCell ref="T111:T113"/>
    <mergeCell ref="U111:U113"/>
    <mergeCell ref="V111:V113"/>
    <mergeCell ref="W111:W113"/>
    <mergeCell ref="N112:O112"/>
    <mergeCell ref="N113:O113"/>
    <mergeCell ref="D111:D113"/>
    <mergeCell ref="E111:F113"/>
    <mergeCell ref="G111:H113"/>
    <mergeCell ref="I111:I113"/>
    <mergeCell ref="J111:J113"/>
    <mergeCell ref="K111:K113"/>
    <mergeCell ref="L108:L110"/>
    <mergeCell ref="M108:M110"/>
    <mergeCell ref="T108:T110"/>
    <mergeCell ref="U108:U110"/>
    <mergeCell ref="V108:V110"/>
    <mergeCell ref="W108:W110"/>
    <mergeCell ref="N109:O109"/>
    <mergeCell ref="N110:O110"/>
    <mergeCell ref="V105:V107"/>
    <mergeCell ref="W105:W107"/>
    <mergeCell ref="N106:O106"/>
    <mergeCell ref="N107:O107"/>
    <mergeCell ref="D108:D110"/>
    <mergeCell ref="E108:F110"/>
    <mergeCell ref="G108:H110"/>
    <mergeCell ref="I108:I110"/>
    <mergeCell ref="J108:J110"/>
    <mergeCell ref="K108:K110"/>
    <mergeCell ref="J105:J107"/>
    <mergeCell ref="K105:K107"/>
    <mergeCell ref="L105:L107"/>
    <mergeCell ref="M105:M107"/>
    <mergeCell ref="T105:T107"/>
    <mergeCell ref="U105:U107"/>
    <mergeCell ref="V102:V104"/>
    <mergeCell ref="W102:W104"/>
    <mergeCell ref="N103:O103"/>
    <mergeCell ref="N104:O104"/>
    <mergeCell ref="B105:B113"/>
    <mergeCell ref="C105:C113"/>
    <mergeCell ref="D105:D107"/>
    <mergeCell ref="E105:F107"/>
    <mergeCell ref="G105:H107"/>
    <mergeCell ref="I105:I107"/>
    <mergeCell ref="J102:J104"/>
    <mergeCell ref="K102:K104"/>
    <mergeCell ref="L102:L104"/>
    <mergeCell ref="M102:M104"/>
    <mergeCell ref="T102:T104"/>
    <mergeCell ref="U102:U104"/>
    <mergeCell ref="V99:V101"/>
    <mergeCell ref="W99:W101"/>
    <mergeCell ref="N100:O100"/>
    <mergeCell ref="N101:O101"/>
    <mergeCell ref="B102:B104"/>
    <mergeCell ref="C102:C104"/>
    <mergeCell ref="D102:D104"/>
    <mergeCell ref="E102:F104"/>
    <mergeCell ref="G102:H104"/>
    <mergeCell ref="I102:I104"/>
    <mergeCell ref="J99:J101"/>
    <mergeCell ref="K99:K101"/>
    <mergeCell ref="L99:L101"/>
    <mergeCell ref="M99:M101"/>
    <mergeCell ref="T99:T101"/>
    <mergeCell ref="U99:U101"/>
    <mergeCell ref="B99:B101"/>
    <mergeCell ref="C99:C101"/>
    <mergeCell ref="D99:D101"/>
    <mergeCell ref="E99:F101"/>
    <mergeCell ref="G99:H101"/>
    <mergeCell ref="I99:I101"/>
    <mergeCell ref="T96:T98"/>
    <mergeCell ref="U96:U98"/>
    <mergeCell ref="V96:V98"/>
    <mergeCell ref="W96:W98"/>
    <mergeCell ref="N97:O97"/>
    <mergeCell ref="N98:O98"/>
    <mergeCell ref="G96:H98"/>
    <mergeCell ref="I96:I98"/>
    <mergeCell ref="J96:J98"/>
    <mergeCell ref="K96:K98"/>
    <mergeCell ref="L96:L98"/>
    <mergeCell ref="M96:M98"/>
    <mergeCell ref="M93:M95"/>
    <mergeCell ref="T93:T95"/>
    <mergeCell ref="U93:U95"/>
    <mergeCell ref="V93:V95"/>
    <mergeCell ref="W93:W95"/>
    <mergeCell ref="N94:O94"/>
    <mergeCell ref="N95:O95"/>
    <mergeCell ref="W90:W92"/>
    <mergeCell ref="N91:O91"/>
    <mergeCell ref="N92:O92"/>
    <mergeCell ref="D93:D95"/>
    <mergeCell ref="E93:F95"/>
    <mergeCell ref="G93:H95"/>
    <mergeCell ref="I93:I95"/>
    <mergeCell ref="J93:J95"/>
    <mergeCell ref="K93:K95"/>
    <mergeCell ref="L93:L95"/>
    <mergeCell ref="K90:K92"/>
    <mergeCell ref="L90:L92"/>
    <mergeCell ref="M90:M92"/>
    <mergeCell ref="T90:T92"/>
    <mergeCell ref="U90:U92"/>
    <mergeCell ref="V90:V92"/>
    <mergeCell ref="U87:U89"/>
    <mergeCell ref="V87:V89"/>
    <mergeCell ref="W87:W89"/>
    <mergeCell ref="N88:O88"/>
    <mergeCell ref="N89:O89"/>
    <mergeCell ref="D90:D92"/>
    <mergeCell ref="E90:F92"/>
    <mergeCell ref="G90:H92"/>
    <mergeCell ref="I90:I92"/>
    <mergeCell ref="J90:J92"/>
    <mergeCell ref="I87:I89"/>
    <mergeCell ref="J87:J89"/>
    <mergeCell ref="K87:K89"/>
    <mergeCell ref="L87:L89"/>
    <mergeCell ref="M87:M89"/>
    <mergeCell ref="T87:T89"/>
    <mergeCell ref="A87:A111"/>
    <mergeCell ref="B87:B95"/>
    <mergeCell ref="C87:C95"/>
    <mergeCell ref="D87:D89"/>
    <mergeCell ref="E87:F89"/>
    <mergeCell ref="G87:H89"/>
    <mergeCell ref="B96:B98"/>
    <mergeCell ref="C96:C98"/>
    <mergeCell ref="D96:D98"/>
    <mergeCell ref="E96:F98"/>
    <mergeCell ref="L84:L86"/>
    <mergeCell ref="M84:M86"/>
    <mergeCell ref="T84:T86"/>
    <mergeCell ref="U84:U86"/>
    <mergeCell ref="V84:V86"/>
    <mergeCell ref="W84:W86"/>
    <mergeCell ref="N85:O85"/>
    <mergeCell ref="N86:O86"/>
    <mergeCell ref="D84:D86"/>
    <mergeCell ref="E84:F86"/>
    <mergeCell ref="G84:H86"/>
    <mergeCell ref="I84:I86"/>
    <mergeCell ref="J84:J86"/>
    <mergeCell ref="K84:K86"/>
    <mergeCell ref="L81:L83"/>
    <mergeCell ref="M81:M83"/>
    <mergeCell ref="T81:T83"/>
    <mergeCell ref="U81:U83"/>
    <mergeCell ref="V81:V83"/>
    <mergeCell ref="W81:W83"/>
    <mergeCell ref="N82:O82"/>
    <mergeCell ref="N83:O83"/>
    <mergeCell ref="V78:V80"/>
    <mergeCell ref="W78:W80"/>
    <mergeCell ref="N79:O79"/>
    <mergeCell ref="N80:O80"/>
    <mergeCell ref="D81:D83"/>
    <mergeCell ref="E81:F83"/>
    <mergeCell ref="G81:H83"/>
    <mergeCell ref="I81:I83"/>
    <mergeCell ref="J81:J83"/>
    <mergeCell ref="K81:K83"/>
    <mergeCell ref="J78:J80"/>
    <mergeCell ref="K78:K80"/>
    <mergeCell ref="L78:L80"/>
    <mergeCell ref="M78:M80"/>
    <mergeCell ref="T78:T80"/>
    <mergeCell ref="U78:U80"/>
    <mergeCell ref="V75:V77"/>
    <mergeCell ref="W75:W77"/>
    <mergeCell ref="N76:O76"/>
    <mergeCell ref="N77:O77"/>
    <mergeCell ref="B78:B86"/>
    <mergeCell ref="C78:C86"/>
    <mergeCell ref="D78:D80"/>
    <mergeCell ref="E78:F80"/>
    <mergeCell ref="G78:H80"/>
    <mergeCell ref="I78:I80"/>
    <mergeCell ref="J75:J77"/>
    <mergeCell ref="K75:K77"/>
    <mergeCell ref="L75:L77"/>
    <mergeCell ref="M75:M77"/>
    <mergeCell ref="T75:T77"/>
    <mergeCell ref="U75:U77"/>
    <mergeCell ref="V72:V74"/>
    <mergeCell ref="W72:W74"/>
    <mergeCell ref="N73:O73"/>
    <mergeCell ref="N74:O74"/>
    <mergeCell ref="B75:B77"/>
    <mergeCell ref="C75:C77"/>
    <mergeCell ref="D75:D77"/>
    <mergeCell ref="E75:F77"/>
    <mergeCell ref="G75:H77"/>
    <mergeCell ref="I75:I77"/>
    <mergeCell ref="J72:J74"/>
    <mergeCell ref="K72:K74"/>
    <mergeCell ref="L72:L74"/>
    <mergeCell ref="M72:M74"/>
    <mergeCell ref="T72:T74"/>
    <mergeCell ref="U72:U74"/>
    <mergeCell ref="V69:V71"/>
    <mergeCell ref="W69:W71"/>
    <mergeCell ref="N70:O70"/>
    <mergeCell ref="N71:O71"/>
    <mergeCell ref="B72:B74"/>
    <mergeCell ref="C72:C74"/>
    <mergeCell ref="D72:D74"/>
    <mergeCell ref="E72:F74"/>
    <mergeCell ref="G72:H74"/>
    <mergeCell ref="I72:I74"/>
    <mergeCell ref="J69:J71"/>
    <mergeCell ref="K69:K71"/>
    <mergeCell ref="L69:L71"/>
    <mergeCell ref="M69:M71"/>
    <mergeCell ref="T69:T71"/>
    <mergeCell ref="U69:U71"/>
    <mergeCell ref="B69:B71"/>
    <mergeCell ref="C69:C71"/>
    <mergeCell ref="D69:D71"/>
    <mergeCell ref="E69:F71"/>
    <mergeCell ref="G69:H71"/>
    <mergeCell ref="I69:I71"/>
    <mergeCell ref="M66:M68"/>
    <mergeCell ref="T66:T68"/>
    <mergeCell ref="U66:U68"/>
    <mergeCell ref="V66:V68"/>
    <mergeCell ref="W66:W68"/>
    <mergeCell ref="N67:O67"/>
    <mergeCell ref="N68:O68"/>
    <mergeCell ref="W63:W65"/>
    <mergeCell ref="N64:O64"/>
    <mergeCell ref="N65:O65"/>
    <mergeCell ref="D66:D68"/>
    <mergeCell ref="E66:F68"/>
    <mergeCell ref="G66:H68"/>
    <mergeCell ref="I66:I68"/>
    <mergeCell ref="J66:J68"/>
    <mergeCell ref="K66:K68"/>
    <mergeCell ref="L66:L68"/>
    <mergeCell ref="K63:K65"/>
    <mergeCell ref="L63:L65"/>
    <mergeCell ref="M63:M65"/>
    <mergeCell ref="T63:T65"/>
    <mergeCell ref="U63:U65"/>
    <mergeCell ref="V63:V65"/>
    <mergeCell ref="U60:U62"/>
    <mergeCell ref="V60:V62"/>
    <mergeCell ref="W60:W62"/>
    <mergeCell ref="N61:O61"/>
    <mergeCell ref="N62:O62"/>
    <mergeCell ref="D63:D65"/>
    <mergeCell ref="E63:F65"/>
    <mergeCell ref="G63:H65"/>
    <mergeCell ref="I63:I65"/>
    <mergeCell ref="J63:J65"/>
    <mergeCell ref="I60:I62"/>
    <mergeCell ref="J60:J62"/>
    <mergeCell ref="K60:K62"/>
    <mergeCell ref="L60:L62"/>
    <mergeCell ref="M60:M62"/>
    <mergeCell ref="T60:T62"/>
    <mergeCell ref="V57:V59"/>
    <mergeCell ref="W57:W59"/>
    <mergeCell ref="N58:O58"/>
    <mergeCell ref="N59:O59"/>
    <mergeCell ref="A60:A84"/>
    <mergeCell ref="B60:B68"/>
    <mergeCell ref="C60:C68"/>
    <mergeCell ref="D60:D62"/>
    <mergeCell ref="E60:F62"/>
    <mergeCell ref="G60:H62"/>
    <mergeCell ref="J57:J59"/>
    <mergeCell ref="K57:K59"/>
    <mergeCell ref="L57:L59"/>
    <mergeCell ref="M57:M59"/>
    <mergeCell ref="T57:T59"/>
    <mergeCell ref="U57:U59"/>
    <mergeCell ref="B57:B59"/>
    <mergeCell ref="C57:C59"/>
    <mergeCell ref="D57:D59"/>
    <mergeCell ref="E57:F59"/>
    <mergeCell ref="G57:H59"/>
    <mergeCell ref="I57:I59"/>
    <mergeCell ref="L54:L56"/>
    <mergeCell ref="M54:M56"/>
    <mergeCell ref="T54:T56"/>
    <mergeCell ref="U54:U56"/>
    <mergeCell ref="V54:V56"/>
    <mergeCell ref="W54:W56"/>
    <mergeCell ref="N55:O55"/>
    <mergeCell ref="N56:O56"/>
    <mergeCell ref="V51:V53"/>
    <mergeCell ref="W51:W53"/>
    <mergeCell ref="N52:O52"/>
    <mergeCell ref="N53:O53"/>
    <mergeCell ref="D54:D56"/>
    <mergeCell ref="E54:F56"/>
    <mergeCell ref="G54:H56"/>
    <mergeCell ref="I54:I56"/>
    <mergeCell ref="J54:J56"/>
    <mergeCell ref="K54:K56"/>
    <mergeCell ref="J51:J53"/>
    <mergeCell ref="K51:K53"/>
    <mergeCell ref="L51:L53"/>
    <mergeCell ref="M51:M53"/>
    <mergeCell ref="T51:T53"/>
    <mergeCell ref="U51:U53"/>
    <mergeCell ref="L48:L50"/>
    <mergeCell ref="M48:M50"/>
    <mergeCell ref="T48:T50"/>
    <mergeCell ref="U48:U50"/>
    <mergeCell ref="V48:V50"/>
    <mergeCell ref="W48:W50"/>
    <mergeCell ref="N49:O49"/>
    <mergeCell ref="N50:O50"/>
    <mergeCell ref="V45:V47"/>
    <mergeCell ref="W45:W47"/>
    <mergeCell ref="N46:O46"/>
    <mergeCell ref="N47:O47"/>
    <mergeCell ref="D48:D50"/>
    <mergeCell ref="E48:F50"/>
    <mergeCell ref="G48:H50"/>
    <mergeCell ref="I48:I50"/>
    <mergeCell ref="J48:J50"/>
    <mergeCell ref="K48:K50"/>
    <mergeCell ref="J45:J47"/>
    <mergeCell ref="K45:K47"/>
    <mergeCell ref="L45:L47"/>
    <mergeCell ref="M45:M47"/>
    <mergeCell ref="T45:T47"/>
    <mergeCell ref="U45:U47"/>
    <mergeCell ref="B45:B56"/>
    <mergeCell ref="C45:C56"/>
    <mergeCell ref="D45:D47"/>
    <mergeCell ref="E45:F47"/>
    <mergeCell ref="G45:H47"/>
    <mergeCell ref="I45:I47"/>
    <mergeCell ref="D51:D53"/>
    <mergeCell ref="E51:F53"/>
    <mergeCell ref="G51:H53"/>
    <mergeCell ref="I51:I53"/>
    <mergeCell ref="L42:L44"/>
    <mergeCell ref="M42:M44"/>
    <mergeCell ref="T42:T44"/>
    <mergeCell ref="U42:U44"/>
    <mergeCell ref="V42:V44"/>
    <mergeCell ref="W42:W44"/>
    <mergeCell ref="N43:O43"/>
    <mergeCell ref="N44:O44"/>
    <mergeCell ref="V39:V41"/>
    <mergeCell ref="W39:W41"/>
    <mergeCell ref="N40:O40"/>
    <mergeCell ref="N41:O41"/>
    <mergeCell ref="D42:D44"/>
    <mergeCell ref="E42:F44"/>
    <mergeCell ref="G42:H44"/>
    <mergeCell ref="I42:I44"/>
    <mergeCell ref="J42:J44"/>
    <mergeCell ref="K42:K44"/>
    <mergeCell ref="J39:J41"/>
    <mergeCell ref="K39:K41"/>
    <mergeCell ref="L39:L41"/>
    <mergeCell ref="M39:M41"/>
    <mergeCell ref="T39:T41"/>
    <mergeCell ref="U39:U41"/>
    <mergeCell ref="V36:V38"/>
    <mergeCell ref="W36:W38"/>
    <mergeCell ref="N37:O37"/>
    <mergeCell ref="N38:O38"/>
    <mergeCell ref="B39:B44"/>
    <mergeCell ref="C39:C44"/>
    <mergeCell ref="D39:D41"/>
    <mergeCell ref="E39:F41"/>
    <mergeCell ref="G39:H41"/>
    <mergeCell ref="I39:I41"/>
    <mergeCell ref="J36:J38"/>
    <mergeCell ref="K36:K38"/>
    <mergeCell ref="L36:L38"/>
    <mergeCell ref="M36:M38"/>
    <mergeCell ref="T36:T38"/>
    <mergeCell ref="U36:U38"/>
    <mergeCell ref="V33:V35"/>
    <mergeCell ref="W33:W35"/>
    <mergeCell ref="N34:O34"/>
    <mergeCell ref="N35:O35"/>
    <mergeCell ref="B36:B38"/>
    <mergeCell ref="C36:C38"/>
    <mergeCell ref="D36:D38"/>
    <mergeCell ref="E36:F38"/>
    <mergeCell ref="G36:H38"/>
    <mergeCell ref="I36:I38"/>
    <mergeCell ref="J33:J35"/>
    <mergeCell ref="K33:K35"/>
    <mergeCell ref="L33:L35"/>
    <mergeCell ref="M33:M35"/>
    <mergeCell ref="T33:T35"/>
    <mergeCell ref="U33:U35"/>
    <mergeCell ref="B33:B35"/>
    <mergeCell ref="C33:C35"/>
    <mergeCell ref="D33:D35"/>
    <mergeCell ref="E33:F35"/>
    <mergeCell ref="G33:H35"/>
    <mergeCell ref="I33:I35"/>
    <mergeCell ref="M30:M32"/>
    <mergeCell ref="T30:T32"/>
    <mergeCell ref="U30:U32"/>
    <mergeCell ref="V30:V32"/>
    <mergeCell ref="W30:W32"/>
    <mergeCell ref="N31:O31"/>
    <mergeCell ref="N32:O32"/>
    <mergeCell ref="W27:W29"/>
    <mergeCell ref="N28:O28"/>
    <mergeCell ref="N29:O29"/>
    <mergeCell ref="D30:D32"/>
    <mergeCell ref="E30:F32"/>
    <mergeCell ref="G30:H32"/>
    <mergeCell ref="I30:I32"/>
    <mergeCell ref="J30:J32"/>
    <mergeCell ref="K30:K32"/>
    <mergeCell ref="L30:L32"/>
    <mergeCell ref="K27:K29"/>
    <mergeCell ref="L27:L29"/>
    <mergeCell ref="M27:M29"/>
    <mergeCell ref="T27:T29"/>
    <mergeCell ref="U27:U29"/>
    <mergeCell ref="V27:V29"/>
    <mergeCell ref="U24:U26"/>
    <mergeCell ref="V24:V26"/>
    <mergeCell ref="W24:W26"/>
    <mergeCell ref="N25:O25"/>
    <mergeCell ref="N26:O26"/>
    <mergeCell ref="D27:D29"/>
    <mergeCell ref="E27:F29"/>
    <mergeCell ref="G27:H29"/>
    <mergeCell ref="I27:I29"/>
    <mergeCell ref="J27:J29"/>
    <mergeCell ref="I24:I26"/>
    <mergeCell ref="J24:J26"/>
    <mergeCell ref="K24:K26"/>
    <mergeCell ref="L24:L26"/>
    <mergeCell ref="M24:M26"/>
    <mergeCell ref="T24:T26"/>
    <mergeCell ref="V21:V23"/>
    <mergeCell ref="W21:W23"/>
    <mergeCell ref="N22:O22"/>
    <mergeCell ref="N23:O23"/>
    <mergeCell ref="A24:A57"/>
    <mergeCell ref="B24:B32"/>
    <mergeCell ref="C24:C32"/>
    <mergeCell ref="D24:D26"/>
    <mergeCell ref="E24:F26"/>
    <mergeCell ref="G24:H26"/>
    <mergeCell ref="J21:J23"/>
    <mergeCell ref="K21:K23"/>
    <mergeCell ref="L21:L23"/>
    <mergeCell ref="M21:M23"/>
    <mergeCell ref="T21:T23"/>
    <mergeCell ref="U21:U23"/>
    <mergeCell ref="B21:B23"/>
    <mergeCell ref="C21:C23"/>
    <mergeCell ref="D21:D23"/>
    <mergeCell ref="E21:F23"/>
    <mergeCell ref="G21:H23"/>
    <mergeCell ref="I21:I23"/>
    <mergeCell ref="AI17:AK18"/>
    <mergeCell ref="AM17:AO18"/>
    <mergeCell ref="BD17:BG17"/>
    <mergeCell ref="B19:B20"/>
    <mergeCell ref="C19:C20"/>
    <mergeCell ref="E19:F19"/>
    <mergeCell ref="G19:H19"/>
    <mergeCell ref="E20:F20"/>
    <mergeCell ref="G20:H20"/>
    <mergeCell ref="R17:R18"/>
    <mergeCell ref="S17:S18"/>
    <mergeCell ref="T17:T18"/>
    <mergeCell ref="U17:U18"/>
    <mergeCell ref="AA17:AC18"/>
    <mergeCell ref="AE17:AG18"/>
    <mergeCell ref="I16:I18"/>
    <mergeCell ref="J16:J18"/>
    <mergeCell ref="K16:K18"/>
    <mergeCell ref="L16:L18"/>
    <mergeCell ref="M16:M18"/>
    <mergeCell ref="T16:U16"/>
    <mergeCell ref="N17:N18"/>
    <mergeCell ref="O17:O18"/>
    <mergeCell ref="P17:P18"/>
    <mergeCell ref="Q17:Q18"/>
    <mergeCell ref="B15:M15"/>
    <mergeCell ref="N15:O16"/>
    <mergeCell ref="P15:S16"/>
    <mergeCell ref="T15:U15"/>
    <mergeCell ref="V15:W15"/>
    <mergeCell ref="B16:B18"/>
    <mergeCell ref="C16:C18"/>
    <mergeCell ref="D16:D18"/>
    <mergeCell ref="E16:F18"/>
    <mergeCell ref="G16:H18"/>
    <mergeCell ref="B13:M13"/>
    <mergeCell ref="N13:W13"/>
    <mergeCell ref="C14:D14"/>
    <mergeCell ref="F14:G14"/>
    <mergeCell ref="I14:M14"/>
    <mergeCell ref="N14:O14"/>
    <mergeCell ref="P14:R14"/>
    <mergeCell ref="T14:W14"/>
    <mergeCell ref="F11:I11"/>
    <mergeCell ref="K11:T11"/>
    <mergeCell ref="C12:E12"/>
    <mergeCell ref="F12:I12"/>
    <mergeCell ref="K12:T12"/>
    <mergeCell ref="U12:W12"/>
    <mergeCell ref="B8:W8"/>
    <mergeCell ref="B9:E9"/>
    <mergeCell ref="F9:I9"/>
    <mergeCell ref="J9:T9"/>
    <mergeCell ref="U9:W9"/>
    <mergeCell ref="C10:E10"/>
    <mergeCell ref="F10:I10"/>
    <mergeCell ref="K10:T10"/>
    <mergeCell ref="U10:W11"/>
    <mergeCell ref="C11:E11"/>
    <mergeCell ref="D2:W2"/>
    <mergeCell ref="D3:W3"/>
    <mergeCell ref="B6:W6"/>
    <mergeCell ref="C7:D7"/>
    <mergeCell ref="F7:G7"/>
    <mergeCell ref="I7:O7"/>
    <mergeCell ref="P7:S7"/>
    <mergeCell ref="T7:W7"/>
  </mergeCells>
  <pageMargins left="0.31496062992125984" right="0.31496062992125984" top="0.35433070866141736" bottom="0.35433070866141736" header="0.31496062992125984" footer="0.31496062992125984"/>
  <pageSetup paperSize="5" scale="75"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B1:AR54"/>
  <sheetViews>
    <sheetView topLeftCell="A2" workbookViewId="0">
      <selection activeCell="F10" sqref="F10:I10"/>
    </sheetView>
  </sheetViews>
  <sheetFormatPr baseColWidth="10" defaultRowHeight="15" x14ac:dyDescent="0.25"/>
  <cols>
    <col min="1" max="1" width="3" customWidth="1"/>
    <col min="2" max="2" width="12" customWidth="1"/>
    <col min="3" max="3" width="18.85546875" customWidth="1"/>
    <col min="4" max="4" width="19.42578125" customWidth="1"/>
    <col min="5" max="5" width="8.85546875" customWidth="1"/>
    <col min="9" max="9" width="9" customWidth="1"/>
    <col min="10" max="10" width="8.28515625" bestFit="1" customWidth="1"/>
    <col min="11" max="11" width="9.5703125" bestFit="1" customWidth="1"/>
    <col min="12" max="13" width="9.85546875" customWidth="1"/>
    <col min="14" max="15" width="6.28515625" customWidth="1"/>
    <col min="16" max="19" width="8.5703125" customWidth="1"/>
    <col min="20" max="21" width="7.28515625" customWidth="1"/>
    <col min="22" max="22" width="6.7109375" customWidth="1"/>
    <col min="23" max="23" width="8.28515625" customWidth="1"/>
    <col min="25" max="25" width="6.140625" hidden="1" customWidth="1"/>
    <col min="26" max="35" width="8.28515625" hidden="1" customWidth="1"/>
    <col min="36" max="42" width="11.42578125" hidden="1" customWidth="1"/>
    <col min="43" max="44" width="0" hidden="1" customWidth="1"/>
  </cols>
  <sheetData>
    <row r="1" spans="2:29" hidden="1" x14ac:dyDescent="0.25">
      <c r="B1">
        <v>1</v>
      </c>
      <c r="C1">
        <v>2</v>
      </c>
      <c r="D1">
        <v>3</v>
      </c>
      <c r="E1">
        <v>4</v>
      </c>
      <c r="F1">
        <v>5</v>
      </c>
      <c r="G1">
        <v>6</v>
      </c>
      <c r="H1">
        <v>7</v>
      </c>
      <c r="I1">
        <v>8</v>
      </c>
      <c r="J1">
        <v>9</v>
      </c>
      <c r="K1">
        <v>10</v>
      </c>
      <c r="N1">
        <v>11</v>
      </c>
      <c r="P1">
        <v>12</v>
      </c>
      <c r="Q1">
        <v>13</v>
      </c>
      <c r="R1">
        <v>14</v>
      </c>
      <c r="S1">
        <v>15</v>
      </c>
      <c r="T1">
        <v>16</v>
      </c>
      <c r="U1">
        <v>17</v>
      </c>
      <c r="W1">
        <v>18</v>
      </c>
    </row>
    <row r="2" spans="2:29" ht="18.75" x14ac:dyDescent="0.3">
      <c r="D2" s="124" t="s">
        <v>499</v>
      </c>
      <c r="E2" s="124"/>
      <c r="F2" s="124"/>
      <c r="G2" s="124"/>
      <c r="H2" s="124"/>
      <c r="I2" s="124"/>
      <c r="J2" s="124"/>
      <c r="K2" s="124"/>
      <c r="L2" s="124"/>
      <c r="M2" s="124"/>
      <c r="N2" s="124"/>
      <c r="O2" s="124"/>
      <c r="P2" s="124"/>
      <c r="Q2" s="124"/>
      <c r="R2" s="124"/>
      <c r="S2" s="124"/>
      <c r="T2" s="124"/>
      <c r="U2" s="124"/>
      <c r="V2" s="124"/>
      <c r="W2" s="124"/>
    </row>
    <row r="3" spans="2:29" ht="18.75" x14ac:dyDescent="0.3">
      <c r="D3" s="124" t="s">
        <v>122</v>
      </c>
      <c r="E3" s="124"/>
      <c r="F3" s="124"/>
      <c r="G3" s="124"/>
      <c r="H3" s="124"/>
      <c r="I3" s="124"/>
      <c r="J3" s="124"/>
      <c r="K3" s="124"/>
      <c r="L3" s="124"/>
      <c r="M3" s="124"/>
      <c r="N3" s="124"/>
      <c r="O3" s="124"/>
      <c r="P3" s="124"/>
      <c r="Q3" s="124"/>
      <c r="R3" s="124"/>
      <c r="S3" s="124"/>
      <c r="T3" s="124"/>
      <c r="U3" s="124"/>
      <c r="V3" s="124"/>
      <c r="W3" s="124"/>
    </row>
    <row r="6" spans="2:29" ht="15.75" thickBot="1" x14ac:dyDescent="0.3">
      <c r="B6" s="73" t="s">
        <v>500</v>
      </c>
      <c r="C6" s="73"/>
      <c r="D6" s="73"/>
      <c r="E6" s="73"/>
      <c r="F6" s="73"/>
      <c r="G6" s="73"/>
      <c r="H6" s="73"/>
      <c r="I6" s="73"/>
      <c r="J6" s="73"/>
      <c r="K6" s="73"/>
      <c r="L6" s="73"/>
      <c r="M6" s="73"/>
      <c r="N6" s="73"/>
      <c r="O6" s="73"/>
      <c r="P6" s="73"/>
      <c r="Q6" s="73"/>
      <c r="R6" s="73"/>
      <c r="S6" s="73"/>
      <c r="T6" s="73"/>
      <c r="U6" s="73"/>
      <c r="V6" s="73"/>
      <c r="W6" s="73"/>
    </row>
    <row r="7" spans="2:29" ht="42" customHeight="1" thickBot="1" x14ac:dyDescent="0.3">
      <c r="B7" s="125" t="s">
        <v>124</v>
      </c>
      <c r="C7" s="126" t="s">
        <v>125</v>
      </c>
      <c r="D7" s="127"/>
      <c r="E7" s="125" t="s">
        <v>126</v>
      </c>
      <c r="F7" s="126" t="s">
        <v>127</v>
      </c>
      <c r="G7" s="127"/>
      <c r="H7" s="125" t="s">
        <v>128</v>
      </c>
      <c r="I7" s="128" t="s">
        <v>129</v>
      </c>
      <c r="J7" s="129"/>
      <c r="K7" s="129"/>
      <c r="L7" s="129"/>
      <c r="M7" s="129"/>
      <c r="N7" s="129"/>
      <c r="O7" s="130"/>
      <c r="P7" s="131" t="s">
        <v>130</v>
      </c>
      <c r="Q7" s="131"/>
      <c r="R7" s="131"/>
      <c r="S7" s="131"/>
      <c r="T7" s="132" t="s">
        <v>501</v>
      </c>
      <c r="U7" s="133"/>
      <c r="V7" s="133"/>
      <c r="W7" s="134"/>
    </row>
    <row r="8" spans="2:29" ht="15.75" thickBot="1" x14ac:dyDescent="0.3">
      <c r="B8" s="135" t="s">
        <v>132</v>
      </c>
      <c r="C8" s="135"/>
      <c r="D8" s="135"/>
      <c r="E8" s="135"/>
      <c r="F8" s="135"/>
      <c r="G8" s="135"/>
      <c r="H8" s="135"/>
      <c r="I8" s="135"/>
      <c r="J8" s="135"/>
      <c r="K8" s="135"/>
      <c r="L8" s="135"/>
      <c r="M8" s="135"/>
      <c r="N8" s="135"/>
      <c r="O8" s="135"/>
      <c r="P8" s="135"/>
      <c r="Q8" s="135"/>
      <c r="R8" s="135"/>
      <c r="S8" s="135"/>
      <c r="T8" s="135"/>
      <c r="U8" s="135"/>
      <c r="V8" s="135"/>
      <c r="W8" s="135"/>
    </row>
    <row r="9" spans="2:29" ht="15.75" thickBot="1" x14ac:dyDescent="0.3">
      <c r="B9" s="136" t="s">
        <v>133</v>
      </c>
      <c r="C9" s="136"/>
      <c r="D9" s="136"/>
      <c r="E9" s="136"/>
      <c r="F9" s="137" t="s">
        <v>134</v>
      </c>
      <c r="G9" s="137"/>
      <c r="H9" s="137"/>
      <c r="I9" s="137"/>
      <c r="J9" s="138" t="s">
        <v>135</v>
      </c>
      <c r="K9" s="139"/>
      <c r="L9" s="139"/>
      <c r="M9" s="139"/>
      <c r="N9" s="139"/>
      <c r="O9" s="139"/>
      <c r="P9" s="139"/>
      <c r="Q9" s="139"/>
      <c r="R9" s="139"/>
      <c r="S9" s="139"/>
      <c r="T9" s="140"/>
      <c r="U9" s="138" t="s">
        <v>136</v>
      </c>
      <c r="V9" s="139"/>
      <c r="W9" s="140"/>
    </row>
    <row r="10" spans="2:29" ht="18" customHeight="1" thickBot="1" x14ac:dyDescent="0.3">
      <c r="B10" s="141" t="s">
        <v>137</v>
      </c>
      <c r="C10" s="142" t="s">
        <v>138</v>
      </c>
      <c r="D10" s="143"/>
      <c r="E10" s="144"/>
      <c r="F10" s="128" t="s">
        <v>139</v>
      </c>
      <c r="G10" s="129"/>
      <c r="H10" s="129"/>
      <c r="I10" s="130"/>
      <c r="J10" s="145" t="s">
        <v>5</v>
      </c>
      <c r="K10" s="128" t="s">
        <v>502</v>
      </c>
      <c r="L10" s="129"/>
      <c r="M10" s="129"/>
      <c r="N10" s="129"/>
      <c r="O10" s="129"/>
      <c r="P10" s="129"/>
      <c r="Q10" s="129"/>
      <c r="R10" s="129"/>
      <c r="S10" s="129"/>
      <c r="T10" s="130"/>
      <c r="U10" s="146" t="s">
        <v>141</v>
      </c>
      <c r="V10" s="147"/>
      <c r="W10" s="148"/>
    </row>
    <row r="11" spans="2:29" ht="25.5" customHeight="1" thickBot="1" x14ac:dyDescent="0.3">
      <c r="B11" s="141" t="s">
        <v>142</v>
      </c>
      <c r="C11" s="126" t="s">
        <v>143</v>
      </c>
      <c r="D11" s="149"/>
      <c r="E11" s="127"/>
      <c r="F11" s="128" t="s">
        <v>144</v>
      </c>
      <c r="G11" s="129"/>
      <c r="H11" s="129"/>
      <c r="I11" s="130"/>
      <c r="J11" s="145" t="s">
        <v>6</v>
      </c>
      <c r="K11" s="126" t="s">
        <v>145</v>
      </c>
      <c r="L11" s="149"/>
      <c r="M11" s="149"/>
      <c r="N11" s="149"/>
      <c r="O11" s="149"/>
      <c r="P11" s="149"/>
      <c r="Q11" s="149"/>
      <c r="R11" s="149"/>
      <c r="S11" s="149"/>
      <c r="T11" s="127"/>
      <c r="U11" s="150"/>
      <c r="V11" s="151"/>
      <c r="W11" s="152"/>
    </row>
    <row r="12" spans="2:29" ht="50.25" customHeight="1" thickBot="1" x14ac:dyDescent="0.3">
      <c r="B12" s="145" t="s">
        <v>6</v>
      </c>
      <c r="C12" s="126" t="s">
        <v>146</v>
      </c>
      <c r="D12" s="149"/>
      <c r="E12" s="127"/>
      <c r="F12" s="126" t="s">
        <v>147</v>
      </c>
      <c r="G12" s="149"/>
      <c r="H12" s="149"/>
      <c r="I12" s="127"/>
      <c r="J12" s="145" t="s">
        <v>148</v>
      </c>
      <c r="K12" s="142" t="s">
        <v>503</v>
      </c>
      <c r="L12" s="143"/>
      <c r="M12" s="143"/>
      <c r="N12" s="143"/>
      <c r="O12" s="143"/>
      <c r="P12" s="143"/>
      <c r="Q12" s="143"/>
      <c r="R12" s="143"/>
      <c r="S12" s="143"/>
      <c r="T12" s="144"/>
      <c r="U12" s="153" t="s">
        <v>150</v>
      </c>
      <c r="V12" s="154"/>
      <c r="W12" s="155"/>
    </row>
    <row r="13" spans="2:29" ht="15.75" thickBot="1" x14ac:dyDescent="0.3">
      <c r="B13" s="138" t="s">
        <v>153</v>
      </c>
      <c r="C13" s="139"/>
      <c r="D13" s="139"/>
      <c r="E13" s="139"/>
      <c r="F13" s="139"/>
      <c r="G13" s="139"/>
      <c r="H13" s="139"/>
      <c r="I13" s="139"/>
      <c r="J13" s="139"/>
      <c r="K13" s="139"/>
      <c r="L13" s="139"/>
      <c r="M13" s="140"/>
      <c r="N13" s="138" t="s">
        <v>154</v>
      </c>
      <c r="O13" s="139"/>
      <c r="P13" s="139"/>
      <c r="Q13" s="139"/>
      <c r="R13" s="139"/>
      <c r="S13" s="139"/>
      <c r="T13" s="139"/>
      <c r="U13" s="139"/>
      <c r="V13" s="139"/>
      <c r="W13" s="140"/>
    </row>
    <row r="14" spans="2:29" ht="15.75" thickBot="1" x14ac:dyDescent="0.3">
      <c r="B14" s="159" t="s">
        <v>155</v>
      </c>
      <c r="C14" s="160" t="s">
        <v>156</v>
      </c>
      <c r="D14" s="161"/>
      <c r="E14" s="159" t="s">
        <v>157</v>
      </c>
      <c r="F14" s="160" t="s">
        <v>158</v>
      </c>
      <c r="G14" s="161"/>
      <c r="H14" s="159" t="s">
        <v>159</v>
      </c>
      <c r="I14" s="162" t="s">
        <v>160</v>
      </c>
      <c r="J14" s="163"/>
      <c r="K14" s="163"/>
      <c r="L14" s="163"/>
      <c r="M14" s="164"/>
      <c r="N14" s="165" t="s">
        <v>161</v>
      </c>
      <c r="O14" s="166"/>
      <c r="P14" s="160" t="s">
        <v>162</v>
      </c>
      <c r="Q14" s="167"/>
      <c r="R14" s="161"/>
      <c r="S14" s="159" t="s">
        <v>163</v>
      </c>
      <c r="T14" s="160" t="s">
        <v>164</v>
      </c>
      <c r="U14" s="167"/>
      <c r="V14" s="167"/>
      <c r="W14" s="161"/>
    </row>
    <row r="15" spans="2:29" ht="15.75" thickBot="1" x14ac:dyDescent="0.3">
      <c r="B15" s="168" t="s">
        <v>165</v>
      </c>
      <c r="C15" s="169"/>
      <c r="D15" s="169"/>
      <c r="E15" s="169"/>
      <c r="F15" s="169"/>
      <c r="G15" s="169"/>
      <c r="H15" s="169"/>
      <c r="I15" s="169"/>
      <c r="J15" s="169"/>
      <c r="K15" s="169"/>
      <c r="L15" s="169"/>
      <c r="M15" s="170"/>
      <c r="N15" s="171" t="s">
        <v>166</v>
      </c>
      <c r="O15" s="172"/>
      <c r="P15" s="173" t="s">
        <v>167</v>
      </c>
      <c r="Q15" s="174"/>
      <c r="R15" s="174"/>
      <c r="S15" s="174"/>
      <c r="T15" s="137" t="s">
        <v>168</v>
      </c>
      <c r="U15" s="137"/>
      <c r="V15" s="138" t="s">
        <v>169</v>
      </c>
      <c r="W15" s="140"/>
      <c r="Y15" s="19" t="s">
        <v>170</v>
      </c>
      <c r="Z15" s="19" t="s">
        <v>171</v>
      </c>
      <c r="AA15" s="19"/>
      <c r="AB15" s="19"/>
      <c r="AC15" s="19"/>
    </row>
    <row r="16" spans="2:29" ht="18.75" customHeight="1" thickBot="1" x14ac:dyDescent="0.3">
      <c r="B16" s="175" t="s">
        <v>3</v>
      </c>
      <c r="C16" s="175" t="s">
        <v>6</v>
      </c>
      <c r="D16" s="175" t="s">
        <v>172</v>
      </c>
      <c r="E16" s="176" t="s">
        <v>173</v>
      </c>
      <c r="F16" s="177"/>
      <c r="G16" s="176" t="s">
        <v>174</v>
      </c>
      <c r="H16" s="177"/>
      <c r="I16" s="175" t="s">
        <v>175</v>
      </c>
      <c r="J16" s="175" t="s">
        <v>176</v>
      </c>
      <c r="K16" s="175" t="s">
        <v>9</v>
      </c>
      <c r="L16" s="175" t="s">
        <v>11</v>
      </c>
      <c r="M16" s="175" t="s">
        <v>177</v>
      </c>
      <c r="N16" s="178"/>
      <c r="O16" s="179"/>
      <c r="P16" s="180"/>
      <c r="Q16" s="181"/>
      <c r="R16" s="181"/>
      <c r="S16" s="181"/>
      <c r="T16" s="182" t="s">
        <v>504</v>
      </c>
      <c r="U16" s="183"/>
      <c r="V16" s="184" t="s">
        <v>35</v>
      </c>
      <c r="W16" s="185" t="s">
        <v>179</v>
      </c>
    </row>
    <row r="17" spans="2:41" ht="18.75" customHeight="1" x14ac:dyDescent="0.25">
      <c r="B17" s="186"/>
      <c r="C17" s="186"/>
      <c r="D17" s="186"/>
      <c r="E17" s="187"/>
      <c r="F17" s="188"/>
      <c r="G17" s="187"/>
      <c r="H17" s="188"/>
      <c r="I17" s="186"/>
      <c r="J17" s="186"/>
      <c r="K17" s="186"/>
      <c r="L17" s="186"/>
      <c r="M17" s="186"/>
      <c r="N17" s="189" t="s">
        <v>180</v>
      </c>
      <c r="O17" s="189" t="s">
        <v>181</v>
      </c>
      <c r="P17" s="189" t="s">
        <v>182</v>
      </c>
      <c r="Q17" s="191" t="s">
        <v>183</v>
      </c>
      <c r="R17" s="189" t="s">
        <v>184</v>
      </c>
      <c r="S17" s="189" t="s">
        <v>185</v>
      </c>
      <c r="T17" s="189" t="s">
        <v>186</v>
      </c>
      <c r="U17" s="192" t="s">
        <v>27</v>
      </c>
      <c r="V17" s="193" t="s">
        <v>36</v>
      </c>
      <c r="W17" s="194" t="s">
        <v>187</v>
      </c>
    </row>
    <row r="18" spans="2:41" ht="15.75" thickBot="1" x14ac:dyDescent="0.3">
      <c r="B18" s="199"/>
      <c r="C18" s="199"/>
      <c r="D18" s="199"/>
      <c r="E18" s="200"/>
      <c r="F18" s="201"/>
      <c r="G18" s="200"/>
      <c r="H18" s="201"/>
      <c r="I18" s="199"/>
      <c r="J18" s="199"/>
      <c r="K18" s="199"/>
      <c r="L18" s="199"/>
      <c r="M18" s="199"/>
      <c r="N18" s="202"/>
      <c r="O18" s="202"/>
      <c r="P18" s="202"/>
      <c r="Q18" s="204"/>
      <c r="R18" s="202"/>
      <c r="S18" s="202"/>
      <c r="T18" s="202"/>
      <c r="U18" s="205"/>
      <c r="V18" s="206" t="s">
        <v>37</v>
      </c>
      <c r="W18" s="207" t="s">
        <v>193</v>
      </c>
      <c r="AA18" s="788" t="s">
        <v>505</v>
      </c>
      <c r="AB18" s="789"/>
      <c r="AC18" s="790"/>
      <c r="AD18" s="788" t="s">
        <v>506</v>
      </c>
      <c r="AE18" s="789"/>
      <c r="AF18" s="790"/>
      <c r="AG18" s="788" t="s">
        <v>507</v>
      </c>
      <c r="AH18" s="789"/>
      <c r="AI18" s="790"/>
      <c r="AJ18" s="788" t="s">
        <v>508</v>
      </c>
      <c r="AK18" s="789"/>
      <c r="AL18" s="790"/>
      <c r="AM18" s="788" t="s">
        <v>509</v>
      </c>
      <c r="AN18" s="789"/>
      <c r="AO18" s="790"/>
    </row>
    <row r="19" spans="2:41" ht="24.95" customHeight="1" thickBot="1" x14ac:dyDescent="0.3">
      <c r="B19" s="208" t="s">
        <v>203</v>
      </c>
      <c r="C19" s="209" t="s">
        <v>204</v>
      </c>
      <c r="D19" s="209" t="s">
        <v>205</v>
      </c>
      <c r="E19" s="227" t="s">
        <v>206</v>
      </c>
      <c r="F19" s="228"/>
      <c r="G19" s="176" t="s">
        <v>207</v>
      </c>
      <c r="H19" s="177"/>
      <c r="I19" s="229" t="s">
        <v>208</v>
      </c>
      <c r="J19" s="229" t="s">
        <v>209</v>
      </c>
      <c r="K19" s="229" t="s">
        <v>10</v>
      </c>
      <c r="L19" s="229" t="s">
        <v>12</v>
      </c>
      <c r="M19" s="229" t="s">
        <v>19</v>
      </c>
      <c r="N19" s="145">
        <v>2022</v>
      </c>
      <c r="O19" s="214">
        <v>3.5</v>
      </c>
      <c r="P19" s="214">
        <v>3.5</v>
      </c>
      <c r="Q19" s="214">
        <v>3.5</v>
      </c>
      <c r="R19" s="214">
        <v>3.5</v>
      </c>
      <c r="S19" s="214"/>
      <c r="T19" s="791">
        <f>+P20</f>
        <v>70</v>
      </c>
      <c r="U19" s="792">
        <f>+P21</f>
        <v>3.5505599740301901</v>
      </c>
      <c r="V19" s="793" t="s">
        <v>35</v>
      </c>
      <c r="W19" s="234">
        <f>+U19/O19-1</f>
        <v>1.4445706865768626E-2</v>
      </c>
      <c r="AA19" s="794"/>
      <c r="AB19" s="795"/>
      <c r="AC19" s="796"/>
      <c r="AG19" s="797"/>
      <c r="AH19" s="798"/>
      <c r="AI19" s="799"/>
      <c r="AM19" s="797"/>
      <c r="AN19" s="798"/>
      <c r="AO19" s="799"/>
    </row>
    <row r="20" spans="2:41" ht="24.95" customHeight="1" thickBot="1" x14ac:dyDescent="0.3">
      <c r="B20" s="239"/>
      <c r="C20" s="240"/>
      <c r="D20" s="240"/>
      <c r="E20" s="241"/>
      <c r="F20" s="242"/>
      <c r="G20" s="187"/>
      <c r="H20" s="188"/>
      <c r="I20" s="243"/>
      <c r="J20" s="243"/>
      <c r="K20" s="243"/>
      <c r="L20" s="243"/>
      <c r="M20" s="243"/>
      <c r="N20" s="800" t="s">
        <v>219</v>
      </c>
      <c r="O20" s="801"/>
      <c r="P20" s="214">
        <f>+AA20</f>
        <v>70</v>
      </c>
      <c r="Q20" s="214">
        <f>+AD20</f>
        <v>70</v>
      </c>
      <c r="R20" s="214">
        <f>+AG20</f>
        <v>70</v>
      </c>
      <c r="S20" s="214"/>
      <c r="T20" s="802"/>
      <c r="U20" s="803"/>
      <c r="V20" s="804"/>
      <c r="W20" s="248"/>
      <c r="Y20">
        <v>2</v>
      </c>
      <c r="Z20">
        <v>17</v>
      </c>
      <c r="AA20" s="794">
        <v>70</v>
      </c>
      <c r="AB20" s="795">
        <f>1971520/100000</f>
        <v>19.715199999999999</v>
      </c>
      <c r="AC20" s="796">
        <f t="shared" ref="AC20:AC47" si="0">+AA20/AB20</f>
        <v>3.5505599740301901</v>
      </c>
      <c r="AD20">
        <v>70</v>
      </c>
      <c r="AE20" s="795">
        <f>1971520/100000</f>
        <v>19.715199999999999</v>
      </c>
      <c r="AF20">
        <v>3.5505599740301901</v>
      </c>
      <c r="AG20" s="794">
        <v>70</v>
      </c>
      <c r="AH20" s="795">
        <f>1971520/100000</f>
        <v>19.715199999999999</v>
      </c>
      <c r="AI20" s="796">
        <v>3.5505599740301901</v>
      </c>
      <c r="AM20" s="794"/>
      <c r="AN20" s="795"/>
      <c r="AO20" s="796"/>
    </row>
    <row r="21" spans="2:41" ht="24.95" customHeight="1" thickBot="1" x14ac:dyDescent="0.3">
      <c r="B21" s="239"/>
      <c r="C21" s="240"/>
      <c r="D21" s="224"/>
      <c r="E21" s="142"/>
      <c r="F21" s="144"/>
      <c r="G21" s="200"/>
      <c r="H21" s="201"/>
      <c r="I21" s="249"/>
      <c r="J21" s="249"/>
      <c r="K21" s="249"/>
      <c r="L21" s="249"/>
      <c r="M21" s="249"/>
      <c r="N21" s="800" t="s">
        <v>220</v>
      </c>
      <c r="O21" s="801"/>
      <c r="P21" s="805">
        <f>+AC20</f>
        <v>3.5505599740301901</v>
      </c>
      <c r="Q21" s="805">
        <f>+AF20</f>
        <v>3.5505599740301901</v>
      </c>
      <c r="R21" s="805">
        <f>+AI20</f>
        <v>3.5505599740301901</v>
      </c>
      <c r="S21" s="214"/>
      <c r="T21" s="806"/>
      <c r="U21" s="807"/>
      <c r="V21" s="808"/>
      <c r="W21" s="254"/>
      <c r="AA21" s="794"/>
      <c r="AB21" s="795"/>
      <c r="AC21" s="796"/>
      <c r="AG21" s="794"/>
      <c r="AH21" s="795"/>
      <c r="AI21" s="796"/>
      <c r="AM21" s="794"/>
      <c r="AN21" s="795"/>
      <c r="AO21" s="796"/>
    </row>
    <row r="22" spans="2:41" ht="24.95" customHeight="1" thickBot="1" x14ac:dyDescent="0.3">
      <c r="B22" s="239"/>
      <c r="C22" s="240"/>
      <c r="D22" s="209" t="s">
        <v>510</v>
      </c>
      <c r="E22" s="227" t="s">
        <v>511</v>
      </c>
      <c r="F22" s="228"/>
      <c r="G22" s="176" t="s">
        <v>512</v>
      </c>
      <c r="H22" s="177"/>
      <c r="I22" s="229" t="s">
        <v>208</v>
      </c>
      <c r="J22" s="229" t="s">
        <v>213</v>
      </c>
      <c r="K22" s="229" t="s">
        <v>10</v>
      </c>
      <c r="L22" s="229" t="s">
        <v>12</v>
      </c>
      <c r="M22" s="229" t="s">
        <v>19</v>
      </c>
      <c r="N22" s="145">
        <v>2022</v>
      </c>
      <c r="O22" s="214">
        <v>1.3</v>
      </c>
      <c r="P22" s="214">
        <v>1.3</v>
      </c>
      <c r="Q22" s="214">
        <v>1.3</v>
      </c>
      <c r="R22" s="214">
        <v>1.3</v>
      </c>
      <c r="S22" s="214"/>
      <c r="T22" s="791">
        <f>+P23</f>
        <v>25</v>
      </c>
      <c r="U22" s="792">
        <f>+P24</f>
        <v>1.2680571335822106</v>
      </c>
      <c r="V22" s="793" t="s">
        <v>35</v>
      </c>
      <c r="W22" s="234">
        <f>+U22/O22-1</f>
        <v>-2.4571435705991851E-2</v>
      </c>
      <c r="AA22" s="794"/>
      <c r="AB22" s="795"/>
      <c r="AC22" s="796"/>
      <c r="AG22" s="794"/>
      <c r="AH22" s="795"/>
      <c r="AI22" s="796"/>
      <c r="AM22" s="794"/>
      <c r="AN22" s="795"/>
      <c r="AO22" s="796"/>
    </row>
    <row r="23" spans="2:41" ht="24.95" customHeight="1" thickBot="1" x14ac:dyDescent="0.3">
      <c r="B23" s="239"/>
      <c r="C23" s="240"/>
      <c r="D23" s="240"/>
      <c r="E23" s="241"/>
      <c r="F23" s="242"/>
      <c r="G23" s="187"/>
      <c r="H23" s="188"/>
      <c r="I23" s="243"/>
      <c r="J23" s="243"/>
      <c r="K23" s="243"/>
      <c r="L23" s="243"/>
      <c r="M23" s="243"/>
      <c r="N23" s="800" t="s">
        <v>219</v>
      </c>
      <c r="O23" s="801"/>
      <c r="P23" s="214">
        <f>+AA23</f>
        <v>25</v>
      </c>
      <c r="Q23" s="214">
        <f>+AD23</f>
        <v>25</v>
      </c>
      <c r="R23" s="214">
        <f>+AG23</f>
        <v>25</v>
      </c>
      <c r="S23" s="214"/>
      <c r="T23" s="802"/>
      <c r="U23" s="803"/>
      <c r="V23" s="804"/>
      <c r="W23" s="248"/>
      <c r="AA23" s="794">
        <v>25</v>
      </c>
      <c r="AB23" s="795">
        <f>1971520/100000</f>
        <v>19.715199999999999</v>
      </c>
      <c r="AC23" s="796">
        <f t="shared" si="0"/>
        <v>1.2680571335822106</v>
      </c>
      <c r="AD23" s="794">
        <v>25</v>
      </c>
      <c r="AE23" s="795">
        <f>1971520/100000</f>
        <v>19.715199999999999</v>
      </c>
      <c r="AF23" s="795">
        <f t="shared" ref="AF23" si="1">+AD23/AE23</f>
        <v>1.2680571335822106</v>
      </c>
      <c r="AG23" s="794">
        <v>25</v>
      </c>
      <c r="AH23" s="795">
        <f>1971520/100000</f>
        <v>19.715199999999999</v>
      </c>
      <c r="AI23" s="796">
        <f t="shared" ref="AI23" si="2">+AG23/AH23</f>
        <v>1.2680571335822106</v>
      </c>
      <c r="AM23" s="794"/>
      <c r="AN23" s="795"/>
      <c r="AO23" s="796"/>
    </row>
    <row r="24" spans="2:41" ht="24.95" customHeight="1" thickBot="1" x14ac:dyDescent="0.3">
      <c r="B24" s="223"/>
      <c r="C24" s="224"/>
      <c r="D24" s="224"/>
      <c r="E24" s="142"/>
      <c r="F24" s="144"/>
      <c r="G24" s="200"/>
      <c r="H24" s="201"/>
      <c r="I24" s="249"/>
      <c r="J24" s="249"/>
      <c r="K24" s="249"/>
      <c r="L24" s="249"/>
      <c r="M24" s="249"/>
      <c r="N24" s="800" t="s">
        <v>220</v>
      </c>
      <c r="O24" s="801"/>
      <c r="P24" s="805">
        <f>+AC23</f>
        <v>1.2680571335822106</v>
      </c>
      <c r="Q24" s="805">
        <f>+AF23</f>
        <v>1.2680571335822106</v>
      </c>
      <c r="R24" s="805">
        <f>+AI23</f>
        <v>1.2680571335822106</v>
      </c>
      <c r="S24" s="214"/>
      <c r="T24" s="806"/>
      <c r="U24" s="807"/>
      <c r="V24" s="808"/>
      <c r="W24" s="254"/>
      <c r="AA24" s="794"/>
      <c r="AB24" s="795"/>
      <c r="AC24" s="796"/>
      <c r="AG24" s="794"/>
      <c r="AH24" s="795"/>
      <c r="AI24" s="796"/>
      <c r="AM24" s="794"/>
      <c r="AN24" s="795"/>
      <c r="AO24" s="796"/>
    </row>
    <row r="25" spans="2:41" ht="45" customHeight="1" thickBot="1" x14ac:dyDescent="0.3">
      <c r="B25" s="208" t="s">
        <v>214</v>
      </c>
      <c r="C25" s="209" t="s">
        <v>513</v>
      </c>
      <c r="D25" s="209" t="s">
        <v>514</v>
      </c>
      <c r="E25" s="227" t="s">
        <v>515</v>
      </c>
      <c r="F25" s="228"/>
      <c r="G25" s="176" t="s">
        <v>516</v>
      </c>
      <c r="H25" s="177"/>
      <c r="I25" s="229" t="s">
        <v>25</v>
      </c>
      <c r="J25" s="229" t="s">
        <v>209</v>
      </c>
      <c r="K25" s="229" t="s">
        <v>10</v>
      </c>
      <c r="L25" s="229" t="s">
        <v>12</v>
      </c>
      <c r="M25" s="229" t="s">
        <v>23</v>
      </c>
      <c r="N25" s="145">
        <v>2022</v>
      </c>
      <c r="O25" s="809">
        <v>0.30399999999999999</v>
      </c>
      <c r="P25" s="230">
        <v>0.3</v>
      </c>
      <c r="Q25" s="230">
        <f>+P25</f>
        <v>0.3</v>
      </c>
      <c r="R25" s="230">
        <f>+Q25</f>
        <v>0.3</v>
      </c>
      <c r="S25" s="214"/>
      <c r="T25" s="791">
        <f>SUM(P26:S26)</f>
        <v>687</v>
      </c>
      <c r="U25" s="232">
        <f>+AO26</f>
        <v>0.30291005291005291</v>
      </c>
      <c r="V25" s="793"/>
      <c r="W25" s="234"/>
      <c r="AA25" s="794"/>
      <c r="AB25" s="795"/>
      <c r="AC25" s="796"/>
      <c r="AG25" s="794"/>
      <c r="AH25" s="795"/>
      <c r="AI25" s="796"/>
      <c r="AM25" s="794"/>
      <c r="AN25" s="795"/>
      <c r="AO25" s="796"/>
    </row>
    <row r="26" spans="2:41" ht="45" customHeight="1" thickBot="1" x14ac:dyDescent="0.3">
      <c r="B26" s="239"/>
      <c r="C26" s="240"/>
      <c r="D26" s="240"/>
      <c r="E26" s="241"/>
      <c r="F26" s="242"/>
      <c r="G26" s="187"/>
      <c r="H26" s="188"/>
      <c r="I26" s="243"/>
      <c r="J26" s="243"/>
      <c r="K26" s="243"/>
      <c r="L26" s="243"/>
      <c r="M26" s="243"/>
      <c r="N26" s="800" t="s">
        <v>219</v>
      </c>
      <c r="O26" s="801"/>
      <c r="P26" s="214">
        <f>+AA26</f>
        <v>224</v>
      </c>
      <c r="Q26" s="214">
        <f>+AD26</f>
        <v>205</v>
      </c>
      <c r="R26" s="214">
        <f>+AG26</f>
        <v>258</v>
      </c>
      <c r="S26" s="214"/>
      <c r="T26" s="802"/>
      <c r="U26" s="246"/>
      <c r="V26" s="804"/>
      <c r="W26" s="248"/>
      <c r="AA26" s="810">
        <v>224</v>
      </c>
      <c r="AB26" s="811">
        <v>711</v>
      </c>
      <c r="AC26" s="812">
        <f t="shared" si="0"/>
        <v>0.31504922644163152</v>
      </c>
      <c r="AD26" s="220">
        <v>205</v>
      </c>
      <c r="AE26" s="220">
        <v>783</v>
      </c>
      <c r="AF26" s="811">
        <v>0.26181353767560667</v>
      </c>
      <c r="AG26" s="810">
        <f>+AG29+AG32+AG35</f>
        <v>258</v>
      </c>
      <c r="AH26" s="811">
        <v>774</v>
      </c>
      <c r="AI26" s="812">
        <f t="shared" ref="AI26" si="3">+AG26/AH26</f>
        <v>0.33333333333333331</v>
      </c>
      <c r="AM26" s="794">
        <f>+AA26+AD26+AG26+AJ26</f>
        <v>687</v>
      </c>
      <c r="AN26" s="795">
        <f>+AB26+AE26+AH26+AK26</f>
        <v>2268</v>
      </c>
      <c r="AO26" s="796">
        <f t="shared" ref="AO26" si="4">+AM26/AN26</f>
        <v>0.30291005291005291</v>
      </c>
    </row>
    <row r="27" spans="2:41" ht="45" customHeight="1" thickBot="1" x14ac:dyDescent="0.3">
      <c r="B27" s="223"/>
      <c r="C27" s="224"/>
      <c r="D27" s="224"/>
      <c r="E27" s="142"/>
      <c r="F27" s="144"/>
      <c r="G27" s="200"/>
      <c r="H27" s="201"/>
      <c r="I27" s="249"/>
      <c r="J27" s="249"/>
      <c r="K27" s="249"/>
      <c r="L27" s="249"/>
      <c r="M27" s="249"/>
      <c r="N27" s="800" t="s">
        <v>220</v>
      </c>
      <c r="O27" s="801"/>
      <c r="P27" s="813">
        <f>+AC26</f>
        <v>0.31504922644163152</v>
      </c>
      <c r="Q27" s="813">
        <f>+AF26</f>
        <v>0.26181353767560667</v>
      </c>
      <c r="R27" s="813">
        <f>+AI26</f>
        <v>0.33333333333333331</v>
      </c>
      <c r="S27" s="813"/>
      <c r="T27" s="806"/>
      <c r="U27" s="252"/>
      <c r="V27" s="808"/>
      <c r="W27" s="254"/>
      <c r="AA27" s="810"/>
      <c r="AB27" s="811"/>
      <c r="AC27" s="812"/>
      <c r="AD27" s="220"/>
      <c r="AE27" s="220"/>
      <c r="AF27" s="220"/>
      <c r="AG27" s="794"/>
      <c r="AH27" s="795"/>
      <c r="AI27" s="796"/>
      <c r="AM27" s="794"/>
      <c r="AN27" s="795"/>
      <c r="AO27" s="796"/>
    </row>
    <row r="28" spans="2:41" ht="35.1" customHeight="1" thickBot="1" x14ac:dyDescent="0.3">
      <c r="B28" s="814" t="s">
        <v>517</v>
      </c>
      <c r="C28" s="209" t="s">
        <v>518</v>
      </c>
      <c r="D28" s="209" t="s">
        <v>519</v>
      </c>
      <c r="E28" s="227" t="s">
        <v>520</v>
      </c>
      <c r="F28" s="228"/>
      <c r="G28" s="176" t="s">
        <v>521</v>
      </c>
      <c r="H28" s="177"/>
      <c r="I28" s="229" t="s">
        <v>25</v>
      </c>
      <c r="J28" s="229" t="s">
        <v>8</v>
      </c>
      <c r="K28" s="229" t="s">
        <v>10</v>
      </c>
      <c r="L28" s="229" t="s">
        <v>12</v>
      </c>
      <c r="M28" s="229" t="s">
        <v>23</v>
      </c>
      <c r="N28" s="145">
        <v>2022</v>
      </c>
      <c r="O28" s="809">
        <v>0.39200000000000002</v>
      </c>
      <c r="P28" s="230">
        <v>0.35</v>
      </c>
      <c r="Q28" s="214"/>
      <c r="R28" s="214"/>
      <c r="S28" s="214"/>
      <c r="T28" s="791">
        <f>SUM(P29:S29)</f>
        <v>173</v>
      </c>
      <c r="U28" s="232">
        <f>+AO29</f>
        <v>0.82775119617224879</v>
      </c>
      <c r="V28" s="793"/>
      <c r="W28" s="234"/>
      <c r="AA28" s="810"/>
      <c r="AB28" s="811"/>
      <c r="AC28" s="812"/>
      <c r="AD28" s="220"/>
      <c r="AE28" s="220"/>
      <c r="AF28" s="220"/>
      <c r="AG28" s="794"/>
      <c r="AH28" s="795"/>
      <c r="AI28" s="796"/>
      <c r="AM28" s="794"/>
      <c r="AN28" s="795"/>
      <c r="AO28" s="796"/>
    </row>
    <row r="29" spans="2:41" ht="35.1" customHeight="1" thickBot="1" x14ac:dyDescent="0.3">
      <c r="B29" s="815"/>
      <c r="C29" s="240"/>
      <c r="D29" s="240"/>
      <c r="E29" s="241"/>
      <c r="F29" s="242"/>
      <c r="G29" s="187"/>
      <c r="H29" s="188"/>
      <c r="I29" s="243"/>
      <c r="J29" s="243"/>
      <c r="K29" s="243"/>
      <c r="L29" s="243"/>
      <c r="M29" s="243"/>
      <c r="N29" s="800" t="s">
        <v>219</v>
      </c>
      <c r="O29" s="801"/>
      <c r="P29" s="214">
        <f>+AA29</f>
        <v>58</v>
      </c>
      <c r="Q29" s="214">
        <f>+AD29</f>
        <v>45</v>
      </c>
      <c r="R29" s="214">
        <f>+AG29</f>
        <v>70</v>
      </c>
      <c r="S29" s="214"/>
      <c r="T29" s="802"/>
      <c r="U29" s="246"/>
      <c r="V29" s="804"/>
      <c r="W29" s="248"/>
      <c r="AA29" s="810">
        <v>58</v>
      </c>
      <c r="AB29" s="811">
        <v>80</v>
      </c>
      <c r="AC29" s="812">
        <f t="shared" si="0"/>
        <v>0.72499999999999998</v>
      </c>
      <c r="AD29" s="220">
        <v>45</v>
      </c>
      <c r="AE29" s="220">
        <v>70</v>
      </c>
      <c r="AF29" s="220">
        <f t="shared" ref="AF29" si="5">+AD29/AE29</f>
        <v>0.6428571428571429</v>
      </c>
      <c r="AG29" s="810">
        <v>70</v>
      </c>
      <c r="AH29" s="811">
        <v>59</v>
      </c>
      <c r="AI29" s="812">
        <f t="shared" ref="AI29" si="6">+AG29/AH29</f>
        <v>1.1864406779661016</v>
      </c>
      <c r="AM29" s="794">
        <f>+AA29+AD29+AG29+AJ29</f>
        <v>173</v>
      </c>
      <c r="AN29" s="795">
        <f>+AB29+AE29+AH29+AK29</f>
        <v>209</v>
      </c>
      <c r="AO29" s="796">
        <f t="shared" ref="AO29" si="7">+AM29/AN29</f>
        <v>0.82775119617224879</v>
      </c>
    </row>
    <row r="30" spans="2:41" ht="35.1" customHeight="1" thickBot="1" x14ac:dyDescent="0.3">
      <c r="B30" s="815"/>
      <c r="C30" s="240"/>
      <c r="D30" s="224"/>
      <c r="E30" s="142"/>
      <c r="F30" s="144"/>
      <c r="G30" s="200"/>
      <c r="H30" s="201"/>
      <c r="I30" s="249"/>
      <c r="J30" s="249"/>
      <c r="K30" s="249"/>
      <c r="L30" s="249"/>
      <c r="M30" s="249"/>
      <c r="N30" s="800" t="s">
        <v>220</v>
      </c>
      <c r="O30" s="801"/>
      <c r="P30" s="813">
        <f>+AC29</f>
        <v>0.72499999999999998</v>
      </c>
      <c r="Q30" s="813">
        <f>+AF29</f>
        <v>0.6428571428571429</v>
      </c>
      <c r="R30" s="813">
        <f>+AI29</f>
        <v>1.1864406779661016</v>
      </c>
      <c r="S30" s="813"/>
      <c r="T30" s="806"/>
      <c r="U30" s="252"/>
      <c r="V30" s="808"/>
      <c r="W30" s="254"/>
      <c r="AA30" s="810"/>
      <c r="AB30" s="811"/>
      <c r="AC30" s="812"/>
      <c r="AD30" s="220"/>
      <c r="AE30" s="220"/>
      <c r="AF30" s="220"/>
      <c r="AG30" s="794"/>
      <c r="AH30" s="795"/>
      <c r="AI30" s="796"/>
      <c r="AM30" s="794"/>
      <c r="AN30" s="795"/>
      <c r="AO30" s="796"/>
    </row>
    <row r="31" spans="2:41" ht="24.95" customHeight="1" thickBot="1" x14ac:dyDescent="0.3">
      <c r="B31" s="815"/>
      <c r="C31" s="240"/>
      <c r="D31" s="209" t="s">
        <v>522</v>
      </c>
      <c r="E31" s="227" t="s">
        <v>523</v>
      </c>
      <c r="F31" s="228"/>
      <c r="G31" s="176" t="s">
        <v>524</v>
      </c>
      <c r="H31" s="177"/>
      <c r="I31" s="229" t="s">
        <v>25</v>
      </c>
      <c r="J31" s="229" t="s">
        <v>8</v>
      </c>
      <c r="K31" s="229" t="s">
        <v>10</v>
      </c>
      <c r="L31" s="229" t="s">
        <v>12</v>
      </c>
      <c r="M31" s="229" t="s">
        <v>23</v>
      </c>
      <c r="N31" s="145">
        <v>2022</v>
      </c>
      <c r="O31" s="809">
        <v>5.3999999999999999E-2</v>
      </c>
      <c r="P31" s="214"/>
      <c r="Q31" s="214"/>
      <c r="R31" s="214"/>
      <c r="S31" s="214"/>
      <c r="T31" s="791">
        <f>SUM(P32:S32)</f>
        <v>128</v>
      </c>
      <c r="U31" s="232">
        <f>+AO32</f>
        <v>5.6437389770723101E-2</v>
      </c>
      <c r="V31" s="793"/>
      <c r="W31" s="234"/>
      <c r="AA31" s="810"/>
      <c r="AB31" s="811"/>
      <c r="AC31" s="812"/>
      <c r="AD31" s="220"/>
      <c r="AE31" s="220"/>
      <c r="AF31" s="220"/>
      <c r="AG31" s="794"/>
      <c r="AH31" s="795"/>
      <c r="AI31" s="796"/>
      <c r="AM31" s="794"/>
      <c r="AN31" s="795"/>
      <c r="AO31" s="796"/>
    </row>
    <row r="32" spans="2:41" ht="24.95" customHeight="1" thickBot="1" x14ac:dyDescent="0.3">
      <c r="B32" s="815"/>
      <c r="C32" s="240"/>
      <c r="D32" s="240"/>
      <c r="E32" s="241"/>
      <c r="F32" s="242"/>
      <c r="G32" s="187"/>
      <c r="H32" s="188"/>
      <c r="I32" s="243"/>
      <c r="J32" s="243"/>
      <c r="K32" s="243"/>
      <c r="L32" s="243"/>
      <c r="M32" s="243"/>
      <c r="N32" s="800" t="s">
        <v>219</v>
      </c>
      <c r="O32" s="801"/>
      <c r="P32" s="214">
        <f>+AA32</f>
        <v>44</v>
      </c>
      <c r="Q32" s="214">
        <f>+AD32</f>
        <v>44</v>
      </c>
      <c r="R32" s="214">
        <f>+AG32</f>
        <v>40</v>
      </c>
      <c r="S32" s="214"/>
      <c r="T32" s="802"/>
      <c r="U32" s="246"/>
      <c r="V32" s="804"/>
      <c r="W32" s="248"/>
      <c r="AA32" s="810">
        <v>44</v>
      </c>
      <c r="AB32" s="811">
        <v>711</v>
      </c>
      <c r="AC32" s="812">
        <f t="shared" si="0"/>
        <v>6.1884669479606191E-2</v>
      </c>
      <c r="AD32" s="220">
        <v>44</v>
      </c>
      <c r="AE32" s="220">
        <f>+AE26</f>
        <v>783</v>
      </c>
      <c r="AF32" s="220">
        <f t="shared" ref="AF32" si="8">+AD32/AE32</f>
        <v>5.6194125159642401E-2</v>
      </c>
      <c r="AG32" s="810">
        <v>40</v>
      </c>
      <c r="AH32" s="811">
        <f>+AH26</f>
        <v>774</v>
      </c>
      <c r="AI32" s="812">
        <f t="shared" ref="AI32" si="9">+AG32/AH32</f>
        <v>5.1679586563307491E-2</v>
      </c>
      <c r="AM32" s="794">
        <f>+AA32+AD32+AG32+AJ32</f>
        <v>128</v>
      </c>
      <c r="AN32" s="795">
        <f>+AB32+AE32+AH32+AK32</f>
        <v>2268</v>
      </c>
      <c r="AO32" s="796">
        <f t="shared" ref="AO32" si="10">+AM32/AN32</f>
        <v>5.6437389770723101E-2</v>
      </c>
    </row>
    <row r="33" spans="2:44" ht="24.95" customHeight="1" thickBot="1" x14ac:dyDescent="0.3">
      <c r="B33" s="815"/>
      <c r="C33" s="240"/>
      <c r="D33" s="224"/>
      <c r="E33" s="142"/>
      <c r="F33" s="144"/>
      <c r="G33" s="200"/>
      <c r="H33" s="201"/>
      <c r="I33" s="249"/>
      <c r="J33" s="249"/>
      <c r="K33" s="249"/>
      <c r="L33" s="249"/>
      <c r="M33" s="249"/>
      <c r="N33" s="800" t="s">
        <v>220</v>
      </c>
      <c r="O33" s="801"/>
      <c r="P33" s="813">
        <f>+AC32</f>
        <v>6.1884669479606191E-2</v>
      </c>
      <c r="Q33" s="813">
        <f>+AF32</f>
        <v>5.6194125159642401E-2</v>
      </c>
      <c r="R33" s="813">
        <f>+AI32</f>
        <v>5.1679586563307491E-2</v>
      </c>
      <c r="S33" s="813"/>
      <c r="T33" s="806"/>
      <c r="U33" s="252"/>
      <c r="V33" s="808"/>
      <c r="W33" s="254"/>
      <c r="AA33" s="810"/>
      <c r="AB33" s="811"/>
      <c r="AC33" s="812"/>
      <c r="AD33" s="220"/>
      <c r="AE33" s="220"/>
      <c r="AF33" s="220"/>
      <c r="AG33" s="794"/>
      <c r="AH33" s="795"/>
      <c r="AI33" s="796"/>
      <c r="AM33" s="794"/>
      <c r="AN33" s="795"/>
      <c r="AO33" s="796"/>
    </row>
    <row r="34" spans="2:44" ht="24.95" customHeight="1" thickBot="1" x14ac:dyDescent="0.3">
      <c r="B34" s="815"/>
      <c r="C34" s="240"/>
      <c r="D34" s="209" t="s">
        <v>525</v>
      </c>
      <c r="E34" s="227" t="s">
        <v>526</v>
      </c>
      <c r="F34" s="228"/>
      <c r="G34" s="176" t="s">
        <v>527</v>
      </c>
      <c r="H34" s="177"/>
      <c r="I34" s="229" t="s">
        <v>25</v>
      </c>
      <c r="J34" s="229" t="s">
        <v>8</v>
      </c>
      <c r="K34" s="229" t="s">
        <v>10</v>
      </c>
      <c r="L34" s="229" t="s">
        <v>12</v>
      </c>
      <c r="M34" s="229" t="s">
        <v>23</v>
      </c>
      <c r="N34" s="145">
        <v>2022</v>
      </c>
      <c r="O34" s="809">
        <v>0.20200000000000001</v>
      </c>
      <c r="P34" s="214"/>
      <c r="Q34" s="214"/>
      <c r="R34" s="214"/>
      <c r="S34" s="214"/>
      <c r="T34" s="791">
        <f>SUM(P35:S35)</f>
        <v>386</v>
      </c>
      <c r="U34" s="232">
        <f>+AO35</f>
        <v>0.17019400352733685</v>
      </c>
      <c r="V34" s="793"/>
      <c r="W34" s="234"/>
      <c r="AA34" s="810"/>
      <c r="AB34" s="811"/>
      <c r="AC34" s="812"/>
      <c r="AD34" s="220"/>
      <c r="AE34" s="220"/>
      <c r="AF34" s="220"/>
      <c r="AG34" s="794"/>
      <c r="AH34" s="795"/>
      <c r="AI34" s="796"/>
      <c r="AM34" s="794"/>
      <c r="AN34" s="795"/>
      <c r="AO34" s="796"/>
    </row>
    <row r="35" spans="2:44" ht="24.95" customHeight="1" thickBot="1" x14ac:dyDescent="0.3">
      <c r="B35" s="815"/>
      <c r="C35" s="240"/>
      <c r="D35" s="240"/>
      <c r="E35" s="241"/>
      <c r="F35" s="242"/>
      <c r="G35" s="187"/>
      <c r="H35" s="188"/>
      <c r="I35" s="243"/>
      <c r="J35" s="243"/>
      <c r="K35" s="243"/>
      <c r="L35" s="243"/>
      <c r="M35" s="243"/>
      <c r="N35" s="800" t="s">
        <v>528</v>
      </c>
      <c r="O35" s="801"/>
      <c r="P35" s="214">
        <f>+AA35</f>
        <v>122</v>
      </c>
      <c r="Q35" s="214">
        <f>+AD35</f>
        <v>116</v>
      </c>
      <c r="R35" s="214">
        <f>+AG35</f>
        <v>148</v>
      </c>
      <c r="S35" s="214"/>
      <c r="T35" s="802"/>
      <c r="U35" s="246"/>
      <c r="V35" s="804"/>
      <c r="W35" s="248"/>
      <c r="AA35" s="810">
        <v>122</v>
      </c>
      <c r="AB35" s="811">
        <v>711</v>
      </c>
      <c r="AC35" s="812">
        <f t="shared" si="0"/>
        <v>0.17158931082981715</v>
      </c>
      <c r="AD35" s="220">
        <v>116</v>
      </c>
      <c r="AE35" s="220">
        <f>+AE26</f>
        <v>783</v>
      </c>
      <c r="AF35" s="220">
        <f t="shared" ref="AF35" si="11">+AD35/AE35</f>
        <v>0.14814814814814814</v>
      </c>
      <c r="AG35" s="810">
        <v>148</v>
      </c>
      <c r="AH35" s="811">
        <f>+AH26</f>
        <v>774</v>
      </c>
      <c r="AI35" s="812">
        <f t="shared" ref="AI35" si="12">+AG35/AH35</f>
        <v>0.19121447028423771</v>
      </c>
      <c r="AM35" s="794">
        <f>+AA35+AD35+AG35+AJ35</f>
        <v>386</v>
      </c>
      <c r="AN35" s="795">
        <f>+AB35+AE35+AH35+AK35</f>
        <v>2268</v>
      </c>
      <c r="AO35" s="796">
        <f t="shared" ref="AO35" si="13">+AM35/AN35</f>
        <v>0.17019400352733685</v>
      </c>
    </row>
    <row r="36" spans="2:44" ht="24.95" customHeight="1" thickBot="1" x14ac:dyDescent="0.3">
      <c r="B36" s="816"/>
      <c r="C36" s="224"/>
      <c r="D36" s="224"/>
      <c r="E36" s="142"/>
      <c r="F36" s="144"/>
      <c r="G36" s="200"/>
      <c r="H36" s="201"/>
      <c r="I36" s="249"/>
      <c r="J36" s="249"/>
      <c r="K36" s="249"/>
      <c r="L36" s="249"/>
      <c r="M36" s="249"/>
      <c r="N36" s="800" t="s">
        <v>529</v>
      </c>
      <c r="O36" s="801"/>
      <c r="P36" s="813">
        <f>+AC35</f>
        <v>0.17158931082981715</v>
      </c>
      <c r="Q36" s="813">
        <f>+AF35</f>
        <v>0.14814814814814814</v>
      </c>
      <c r="R36" s="813">
        <f>+AI35</f>
        <v>0.19121447028423771</v>
      </c>
      <c r="S36" s="214"/>
      <c r="T36" s="806"/>
      <c r="U36" s="252"/>
      <c r="V36" s="808"/>
      <c r="W36" s="254"/>
      <c r="AA36" s="810"/>
      <c r="AB36" s="811"/>
      <c r="AC36" s="812"/>
      <c r="AD36" s="220"/>
      <c r="AE36" s="220"/>
      <c r="AF36" s="220"/>
      <c r="AG36" s="794"/>
      <c r="AH36" s="795"/>
      <c r="AI36" s="796"/>
      <c r="AM36" s="794"/>
      <c r="AN36" s="795"/>
      <c r="AO36" s="796"/>
    </row>
    <row r="37" spans="2:44" ht="24.95" customHeight="1" thickBot="1" x14ac:dyDescent="0.3">
      <c r="B37" s="208" t="s">
        <v>233</v>
      </c>
      <c r="C37" s="209" t="s">
        <v>530</v>
      </c>
      <c r="D37" s="209" t="s">
        <v>531</v>
      </c>
      <c r="E37" s="227" t="s">
        <v>532</v>
      </c>
      <c r="F37" s="228"/>
      <c r="G37" s="176" t="s">
        <v>533</v>
      </c>
      <c r="H37" s="177"/>
      <c r="I37" s="229" t="s">
        <v>25</v>
      </c>
      <c r="J37" s="229" t="s">
        <v>8</v>
      </c>
      <c r="K37" s="229" t="s">
        <v>10</v>
      </c>
      <c r="L37" s="229" t="s">
        <v>12</v>
      </c>
      <c r="M37" s="229" t="s">
        <v>23</v>
      </c>
      <c r="N37" s="145">
        <v>2022</v>
      </c>
      <c r="O37" s="809">
        <v>0.105</v>
      </c>
      <c r="P37" s="214"/>
      <c r="Q37" s="214"/>
      <c r="R37" s="214"/>
      <c r="S37" s="214"/>
      <c r="T37" s="791">
        <f>SUM(P38:S38)</f>
        <v>209</v>
      </c>
      <c r="U37" s="232">
        <f>+AO38</f>
        <v>9.2151675485008813E-2</v>
      </c>
      <c r="V37" s="793"/>
      <c r="W37" s="234"/>
      <c r="AA37" s="810"/>
      <c r="AB37" s="811"/>
      <c r="AC37" s="812"/>
      <c r="AD37" s="220"/>
      <c r="AE37" s="220"/>
      <c r="AF37" s="220"/>
      <c r="AG37" s="794"/>
      <c r="AH37" s="795"/>
      <c r="AI37" s="796"/>
      <c r="AM37" s="794"/>
      <c r="AN37" s="795"/>
      <c r="AO37" s="796"/>
    </row>
    <row r="38" spans="2:44" ht="24.95" customHeight="1" thickBot="1" x14ac:dyDescent="0.3">
      <c r="B38" s="239"/>
      <c r="C38" s="240"/>
      <c r="D38" s="240"/>
      <c r="E38" s="241"/>
      <c r="F38" s="242"/>
      <c r="G38" s="187"/>
      <c r="H38" s="188"/>
      <c r="I38" s="243"/>
      <c r="J38" s="243"/>
      <c r="K38" s="243"/>
      <c r="L38" s="243"/>
      <c r="M38" s="243"/>
      <c r="N38" s="800" t="s">
        <v>219</v>
      </c>
      <c r="O38" s="801"/>
      <c r="P38" s="214">
        <f>+AA38</f>
        <v>80</v>
      </c>
      <c r="Q38" s="214">
        <f>+AD38</f>
        <v>70</v>
      </c>
      <c r="R38" s="214">
        <f>+AG38</f>
        <v>59</v>
      </c>
      <c r="S38" s="214"/>
      <c r="T38" s="802"/>
      <c r="U38" s="246"/>
      <c r="V38" s="804"/>
      <c r="W38" s="248"/>
      <c r="AA38" s="810">
        <v>80</v>
      </c>
      <c r="AB38" s="811">
        <v>711</v>
      </c>
      <c r="AC38" s="812">
        <f t="shared" si="0"/>
        <v>0.11251758087201125</v>
      </c>
      <c r="AD38" s="220">
        <f>+AE29</f>
        <v>70</v>
      </c>
      <c r="AE38" s="220">
        <f>+AE26</f>
        <v>783</v>
      </c>
      <c r="AF38" s="220">
        <f t="shared" ref="AF38" si="14">+AD38/AE38</f>
        <v>8.9399744572158366E-2</v>
      </c>
      <c r="AG38" s="810">
        <f>+AH29</f>
        <v>59</v>
      </c>
      <c r="AH38" s="811">
        <f>+AH26</f>
        <v>774</v>
      </c>
      <c r="AI38" s="812">
        <f t="shared" ref="AI38" si="15">+AG38/AH38</f>
        <v>7.6227390180878554E-2</v>
      </c>
      <c r="AM38" s="794">
        <f>+AA38+AD38+AG38+AJ38</f>
        <v>209</v>
      </c>
      <c r="AN38" s="795">
        <f>+AB38+AE38+AH38+AK38</f>
        <v>2268</v>
      </c>
      <c r="AO38" s="796">
        <f t="shared" ref="AO38" si="16">+AM38/AN38</f>
        <v>9.2151675485008813E-2</v>
      </c>
    </row>
    <row r="39" spans="2:44" ht="24.95" customHeight="1" thickBot="1" x14ac:dyDescent="0.3">
      <c r="B39" s="223"/>
      <c r="C39" s="224"/>
      <c r="D39" s="224"/>
      <c r="E39" s="142"/>
      <c r="F39" s="144"/>
      <c r="G39" s="200"/>
      <c r="H39" s="201"/>
      <c r="I39" s="249"/>
      <c r="J39" s="249"/>
      <c r="K39" s="249"/>
      <c r="L39" s="249"/>
      <c r="M39" s="249"/>
      <c r="N39" s="800" t="s">
        <v>220</v>
      </c>
      <c r="O39" s="801"/>
      <c r="P39" s="813">
        <f>+AC38</f>
        <v>0.11251758087201125</v>
      </c>
      <c r="Q39" s="813">
        <f>+AF38</f>
        <v>8.9399744572158366E-2</v>
      </c>
      <c r="R39" s="813">
        <f>+AI38</f>
        <v>7.6227390180878554E-2</v>
      </c>
      <c r="S39" s="214"/>
      <c r="T39" s="806"/>
      <c r="U39" s="252"/>
      <c r="V39" s="808"/>
      <c r="W39" s="254"/>
      <c r="AA39" s="810"/>
      <c r="AB39" s="811"/>
      <c r="AC39" s="812"/>
      <c r="AD39" s="220"/>
      <c r="AE39" s="220"/>
      <c r="AF39" s="220"/>
      <c r="AG39" s="794"/>
      <c r="AH39" s="795"/>
      <c r="AI39" s="796"/>
      <c r="AM39" s="794"/>
      <c r="AN39" s="795"/>
      <c r="AO39" s="796"/>
    </row>
    <row r="40" spans="2:44" ht="24.95" customHeight="1" thickBot="1" x14ac:dyDescent="0.3">
      <c r="B40" s="208" t="s">
        <v>238</v>
      </c>
      <c r="C40" s="209" t="s">
        <v>234</v>
      </c>
      <c r="D40" s="209" t="s">
        <v>534</v>
      </c>
      <c r="E40" s="227" t="s">
        <v>535</v>
      </c>
      <c r="F40" s="228"/>
      <c r="G40" s="176" t="s">
        <v>536</v>
      </c>
      <c r="H40" s="177"/>
      <c r="I40" s="229" t="s">
        <v>25</v>
      </c>
      <c r="J40" s="229" t="s">
        <v>8</v>
      </c>
      <c r="K40" s="229" t="s">
        <v>10</v>
      </c>
      <c r="L40" s="229" t="s">
        <v>12</v>
      </c>
      <c r="M40" s="229" t="s">
        <v>23</v>
      </c>
      <c r="N40" s="145">
        <v>2022</v>
      </c>
      <c r="O40" s="809">
        <v>0.53900000000000003</v>
      </c>
      <c r="P40" s="214"/>
      <c r="Q40" s="214"/>
      <c r="R40" s="214"/>
      <c r="S40" s="214"/>
      <c r="T40" s="791">
        <f>SUM(P41:S41)</f>
        <v>8866</v>
      </c>
      <c r="U40" s="232">
        <f>+AO41</f>
        <v>0.5746694322011926</v>
      </c>
      <c r="V40" s="793"/>
      <c r="W40" s="234"/>
      <c r="AA40" s="810"/>
      <c r="AB40" s="811"/>
      <c r="AC40" s="812"/>
      <c r="AD40" s="220"/>
      <c r="AE40" s="220"/>
      <c r="AF40" s="220"/>
      <c r="AG40" s="794"/>
      <c r="AH40" s="795"/>
      <c r="AI40" s="796"/>
      <c r="AM40" s="794"/>
      <c r="AN40" s="795"/>
      <c r="AO40" s="796"/>
    </row>
    <row r="41" spans="2:44" ht="24.95" customHeight="1" thickBot="1" x14ac:dyDescent="0.3">
      <c r="B41" s="239"/>
      <c r="C41" s="240"/>
      <c r="D41" s="240"/>
      <c r="E41" s="241"/>
      <c r="F41" s="242"/>
      <c r="G41" s="187"/>
      <c r="H41" s="188"/>
      <c r="I41" s="243"/>
      <c r="J41" s="243"/>
      <c r="K41" s="243"/>
      <c r="L41" s="243"/>
      <c r="M41" s="243"/>
      <c r="N41" s="800" t="s">
        <v>219</v>
      </c>
      <c r="O41" s="801"/>
      <c r="P41" s="214">
        <f>+AA41</f>
        <v>3111</v>
      </c>
      <c r="Q41" s="214">
        <f>+AD41</f>
        <v>3085</v>
      </c>
      <c r="R41" s="214">
        <f>+AG41</f>
        <v>2670</v>
      </c>
      <c r="S41" s="214"/>
      <c r="T41" s="802"/>
      <c r="U41" s="246"/>
      <c r="V41" s="804"/>
      <c r="W41" s="248"/>
      <c r="AA41" s="810">
        <v>3111</v>
      </c>
      <c r="AB41" s="811">
        <v>5318</v>
      </c>
      <c r="AC41" s="812">
        <f t="shared" si="0"/>
        <v>0.58499435878149675</v>
      </c>
      <c r="AD41" s="220">
        <v>3085</v>
      </c>
      <c r="AE41" s="220">
        <v>5396</v>
      </c>
      <c r="AF41" s="220">
        <f t="shared" ref="AF41" si="17">+AD41/AE41</f>
        <v>0.57171979243884363</v>
      </c>
      <c r="AG41" s="810">
        <v>2670</v>
      </c>
      <c r="AH41" s="811">
        <v>4714</v>
      </c>
      <c r="AI41" s="812">
        <f t="shared" ref="AI41" si="18">+AG41/AH41</f>
        <v>0.56639796351294014</v>
      </c>
      <c r="AM41" s="794">
        <f>+AA41+AD41+AG41+AJ41</f>
        <v>8866</v>
      </c>
      <c r="AN41" s="795">
        <f>+AB41+AE41+AH41+AK41</f>
        <v>15428</v>
      </c>
      <c r="AO41" s="796">
        <f t="shared" ref="AO41" si="19">+AM41/AN41</f>
        <v>0.5746694322011926</v>
      </c>
    </row>
    <row r="42" spans="2:44" ht="24.95" customHeight="1" thickBot="1" x14ac:dyDescent="0.3">
      <c r="B42" s="223"/>
      <c r="C42" s="224"/>
      <c r="D42" s="224"/>
      <c r="E42" s="142"/>
      <c r="F42" s="144"/>
      <c r="G42" s="200"/>
      <c r="H42" s="201"/>
      <c r="I42" s="249"/>
      <c r="J42" s="249"/>
      <c r="K42" s="249"/>
      <c r="L42" s="249"/>
      <c r="M42" s="249"/>
      <c r="N42" s="800" t="s">
        <v>220</v>
      </c>
      <c r="O42" s="801"/>
      <c r="P42" s="813">
        <f>+AC41</f>
        <v>0.58499435878149675</v>
      </c>
      <c r="Q42" s="813">
        <f>+AF41</f>
        <v>0.57171979243884363</v>
      </c>
      <c r="R42" s="813">
        <f>+AI41</f>
        <v>0.56639796351294014</v>
      </c>
      <c r="S42" s="813"/>
      <c r="T42" s="806"/>
      <c r="U42" s="252"/>
      <c r="V42" s="808"/>
      <c r="W42" s="254"/>
      <c r="AA42" s="810"/>
      <c r="AB42" s="811"/>
      <c r="AC42" s="812"/>
      <c r="AD42" s="220"/>
      <c r="AE42" s="220"/>
      <c r="AF42" s="220"/>
      <c r="AG42" s="794"/>
      <c r="AH42" s="795"/>
      <c r="AI42" s="796"/>
      <c r="AM42" s="794"/>
      <c r="AN42" s="795"/>
      <c r="AO42" s="796"/>
    </row>
    <row r="43" spans="2:44" ht="30" customHeight="1" thickBot="1" x14ac:dyDescent="0.3">
      <c r="B43" s="208" t="s">
        <v>243</v>
      </c>
      <c r="C43" s="209" t="s">
        <v>537</v>
      </c>
      <c r="D43" s="209" t="s">
        <v>538</v>
      </c>
      <c r="E43" s="227" t="s">
        <v>539</v>
      </c>
      <c r="F43" s="228"/>
      <c r="G43" s="176" t="s">
        <v>540</v>
      </c>
      <c r="H43" s="177"/>
      <c r="I43" s="229" t="s">
        <v>25</v>
      </c>
      <c r="J43" s="229" t="s">
        <v>8</v>
      </c>
      <c r="K43" s="229" t="s">
        <v>10</v>
      </c>
      <c r="L43" s="229" t="s">
        <v>12</v>
      </c>
      <c r="M43" s="229" t="s">
        <v>23</v>
      </c>
      <c r="N43" s="145">
        <v>2022</v>
      </c>
      <c r="O43" s="809">
        <v>0.28799999999999998</v>
      </c>
      <c r="P43" s="214"/>
      <c r="Q43" s="214"/>
      <c r="R43" s="214"/>
      <c r="S43" s="214"/>
      <c r="T43" s="791">
        <f>SUM(P44:S44)</f>
        <v>764</v>
      </c>
      <c r="U43" s="232">
        <f>+AO44</f>
        <v>1.1318518518518519</v>
      </c>
      <c r="V43" s="793"/>
      <c r="W43" s="234"/>
      <c r="X43" s="817"/>
      <c r="AA43" s="810"/>
      <c r="AB43" s="811"/>
      <c r="AC43" s="812"/>
      <c r="AD43" s="220"/>
      <c r="AE43" s="220"/>
      <c r="AF43" s="220"/>
      <c r="AG43" s="794"/>
      <c r="AH43" s="795"/>
      <c r="AI43" s="796"/>
      <c r="AM43" s="794"/>
      <c r="AN43" s="795"/>
      <c r="AO43" s="796"/>
    </row>
    <row r="44" spans="2:44" ht="30" customHeight="1" thickBot="1" x14ac:dyDescent="0.3">
      <c r="B44" s="239"/>
      <c r="C44" s="240"/>
      <c r="D44" s="240"/>
      <c r="E44" s="241"/>
      <c r="F44" s="242"/>
      <c r="G44" s="187"/>
      <c r="H44" s="188"/>
      <c r="I44" s="243"/>
      <c r="J44" s="243"/>
      <c r="K44" s="243"/>
      <c r="L44" s="243"/>
      <c r="M44" s="243"/>
      <c r="N44" s="800" t="s">
        <v>219</v>
      </c>
      <c r="O44" s="801"/>
      <c r="P44" s="214">
        <f>+AA44</f>
        <v>258</v>
      </c>
      <c r="Q44" s="214">
        <f>+AD44</f>
        <v>248</v>
      </c>
      <c r="R44" s="214">
        <f>+AG44</f>
        <v>258</v>
      </c>
      <c r="S44" s="214"/>
      <c r="T44" s="802"/>
      <c r="U44" s="246"/>
      <c r="V44" s="804"/>
      <c r="W44" s="248"/>
      <c r="X44" s="817"/>
      <c r="Z44" s="818" t="s">
        <v>541</v>
      </c>
      <c r="AA44" s="810">
        <v>258</v>
      </c>
      <c r="AB44" s="811">
        <v>265</v>
      </c>
      <c r="AC44" s="812">
        <f t="shared" si="0"/>
        <v>0.97358490566037736</v>
      </c>
      <c r="AD44" s="220">
        <f>132+27+(AD29+AD32)</f>
        <v>248</v>
      </c>
      <c r="AE44" s="220">
        <f>AE29+139</f>
        <v>209</v>
      </c>
      <c r="AF44" s="220">
        <f t="shared" ref="AF44" si="20">+AD44/AE44</f>
        <v>1.1866028708133971</v>
      </c>
      <c r="AG44" s="810">
        <f>132+16+(AG29+AG32)</f>
        <v>258</v>
      </c>
      <c r="AH44" s="811">
        <f>AH29+142</f>
        <v>201</v>
      </c>
      <c r="AI44" s="812">
        <f t="shared" ref="AI44" si="21">+AG44/AH44</f>
        <v>1.2835820895522387</v>
      </c>
      <c r="AM44" s="794">
        <f>+AA44+AD44+AG44+AJ44</f>
        <v>764</v>
      </c>
      <c r="AN44" s="795">
        <f>+AB44+AE44+AH44+AK44</f>
        <v>675</v>
      </c>
      <c r="AO44" s="796">
        <f t="shared" ref="AO44" si="22">+AM44/AN44</f>
        <v>1.1318518518518519</v>
      </c>
    </row>
    <row r="45" spans="2:44" ht="30" customHeight="1" thickBot="1" x14ac:dyDescent="0.3">
      <c r="B45" s="223"/>
      <c r="C45" s="224"/>
      <c r="D45" s="224"/>
      <c r="E45" s="142"/>
      <c r="F45" s="144"/>
      <c r="G45" s="200"/>
      <c r="H45" s="201"/>
      <c r="I45" s="249"/>
      <c r="J45" s="249"/>
      <c r="K45" s="249"/>
      <c r="L45" s="249"/>
      <c r="M45" s="249"/>
      <c r="N45" s="800" t="s">
        <v>220</v>
      </c>
      <c r="O45" s="801"/>
      <c r="P45" s="813">
        <f>+AC44</f>
        <v>0.97358490566037736</v>
      </c>
      <c r="Q45" s="813">
        <f>+AF44</f>
        <v>1.1866028708133971</v>
      </c>
      <c r="R45" s="813">
        <f>+AI44</f>
        <v>1.2835820895522387</v>
      </c>
      <c r="S45" s="813"/>
      <c r="T45" s="806"/>
      <c r="U45" s="252"/>
      <c r="V45" s="808"/>
      <c r="W45" s="254"/>
      <c r="X45" s="817"/>
      <c r="Z45" s="818"/>
      <c r="AA45" s="810"/>
      <c r="AB45" s="811"/>
      <c r="AC45" s="812"/>
      <c r="AD45" s="220"/>
      <c r="AE45" s="220"/>
      <c r="AF45" s="220"/>
      <c r="AG45" s="794"/>
      <c r="AH45" s="795"/>
      <c r="AI45" s="796"/>
      <c r="AM45" s="794"/>
      <c r="AN45" s="795"/>
      <c r="AO45" s="796"/>
    </row>
    <row r="46" spans="2:44" ht="24.95" customHeight="1" thickBot="1" x14ac:dyDescent="0.3">
      <c r="B46" s="208" t="s">
        <v>251</v>
      </c>
      <c r="C46" s="209" t="s">
        <v>266</v>
      </c>
      <c r="D46" s="209" t="s">
        <v>542</v>
      </c>
      <c r="E46" s="227" t="s">
        <v>543</v>
      </c>
      <c r="F46" s="228"/>
      <c r="G46" s="176" t="s">
        <v>544</v>
      </c>
      <c r="H46" s="177"/>
      <c r="I46" s="229" t="s">
        <v>25</v>
      </c>
      <c r="J46" s="229" t="s">
        <v>8</v>
      </c>
      <c r="K46" s="229" t="s">
        <v>10</v>
      </c>
      <c r="L46" s="229" t="s">
        <v>12</v>
      </c>
      <c r="M46" s="229" t="s">
        <v>23</v>
      </c>
      <c r="N46" s="145">
        <v>2022</v>
      </c>
      <c r="O46" s="809">
        <v>0.73899999999999999</v>
      </c>
      <c r="P46" s="214"/>
      <c r="Q46" s="214"/>
      <c r="R46" s="214"/>
      <c r="S46" s="214"/>
      <c r="T46" s="791">
        <f>SUM(P47:S47)</f>
        <v>263</v>
      </c>
      <c r="U46" s="232">
        <f>+AO47</f>
        <v>0.87375415282392022</v>
      </c>
      <c r="V46" s="793"/>
      <c r="W46" s="234"/>
      <c r="Z46" s="818"/>
      <c r="AA46" s="810"/>
      <c r="AB46" s="811"/>
      <c r="AC46" s="812"/>
      <c r="AD46" s="220"/>
      <c r="AE46" s="220"/>
      <c r="AF46" s="220"/>
      <c r="AG46" s="794"/>
      <c r="AH46" s="795"/>
      <c r="AI46" s="796"/>
      <c r="AM46" s="794"/>
      <c r="AN46" s="795"/>
      <c r="AO46" s="796"/>
      <c r="AR46" t="s">
        <v>545</v>
      </c>
    </row>
    <row r="47" spans="2:44" ht="24.95" customHeight="1" thickBot="1" x14ac:dyDescent="0.3">
      <c r="B47" s="239"/>
      <c r="C47" s="240"/>
      <c r="D47" s="240"/>
      <c r="E47" s="241"/>
      <c r="F47" s="242"/>
      <c r="G47" s="187"/>
      <c r="H47" s="188"/>
      <c r="I47" s="243"/>
      <c r="J47" s="243"/>
      <c r="K47" s="243"/>
      <c r="L47" s="243"/>
      <c r="M47" s="243"/>
      <c r="N47" s="800" t="s">
        <v>219</v>
      </c>
      <c r="O47" s="801"/>
      <c r="P47" s="214">
        <f>+AA47</f>
        <v>96</v>
      </c>
      <c r="Q47" s="214">
        <f>+AD47</f>
        <v>69</v>
      </c>
      <c r="R47" s="214">
        <f>+AG47</f>
        <v>98</v>
      </c>
      <c r="S47" s="214"/>
      <c r="T47" s="802"/>
      <c r="U47" s="246"/>
      <c r="V47" s="804"/>
      <c r="W47" s="248"/>
      <c r="AA47" s="810">
        <v>96</v>
      </c>
      <c r="AB47" s="811">
        <v>102</v>
      </c>
      <c r="AC47" s="812">
        <f t="shared" si="0"/>
        <v>0.94117647058823528</v>
      </c>
      <c r="AD47" s="220">
        <v>69</v>
      </c>
      <c r="AE47" s="220">
        <f>+AD29+AD32</f>
        <v>89</v>
      </c>
      <c r="AF47" s="220">
        <f t="shared" ref="AF47" si="23">+AD47/AE47</f>
        <v>0.7752808988764045</v>
      </c>
      <c r="AG47" s="810">
        <v>98</v>
      </c>
      <c r="AH47" s="811">
        <f>+AG29+AG32</f>
        <v>110</v>
      </c>
      <c r="AI47" s="812">
        <f t="shared" ref="AI47" si="24">+AG47/AH47</f>
        <v>0.89090909090909087</v>
      </c>
      <c r="AM47" s="794">
        <f>+AA47+AD47+AG47+AJ47</f>
        <v>263</v>
      </c>
      <c r="AN47" s="795">
        <f>+AB47+AE47+AH47+AK47</f>
        <v>301</v>
      </c>
      <c r="AO47" s="796">
        <f t="shared" ref="AO47" si="25">+AM47/AN47</f>
        <v>0.87375415282392022</v>
      </c>
    </row>
    <row r="48" spans="2:44" ht="24.95" customHeight="1" thickBot="1" x14ac:dyDescent="0.3">
      <c r="B48" s="223"/>
      <c r="C48" s="224"/>
      <c r="D48" s="224"/>
      <c r="E48" s="142"/>
      <c r="F48" s="144"/>
      <c r="G48" s="200"/>
      <c r="H48" s="201"/>
      <c r="I48" s="249"/>
      <c r="J48" s="249"/>
      <c r="K48" s="249"/>
      <c r="L48" s="249"/>
      <c r="M48" s="249"/>
      <c r="N48" s="819" t="s">
        <v>220</v>
      </c>
      <c r="O48" s="820"/>
      <c r="P48" s="813">
        <f>+AC47</f>
        <v>0.94117647058823528</v>
      </c>
      <c r="Q48" s="813">
        <f>+AF47</f>
        <v>0.7752808988764045</v>
      </c>
      <c r="R48" s="813">
        <f>+AI47</f>
        <v>0.89090909090909087</v>
      </c>
      <c r="S48" s="813"/>
      <c r="T48" s="806"/>
      <c r="U48" s="252"/>
      <c r="V48" s="808"/>
      <c r="W48" s="254"/>
      <c r="AA48" s="821"/>
      <c r="AB48" s="822"/>
      <c r="AC48" s="823"/>
      <c r="AG48" s="821"/>
      <c r="AH48" s="822"/>
      <c r="AI48" s="823"/>
      <c r="AM48" s="821"/>
      <c r="AN48" s="822"/>
      <c r="AO48" s="823"/>
    </row>
    <row r="50" spans="15:28" hidden="1" x14ac:dyDescent="0.25">
      <c r="O50" s="824"/>
      <c r="V50" s="825" t="s">
        <v>546</v>
      </c>
    </row>
    <row r="54" spans="15:28" x14ac:dyDescent="0.25">
      <c r="AB54">
        <f>58+44</f>
        <v>102</v>
      </c>
    </row>
  </sheetData>
  <mergeCells count="215">
    <mergeCell ref="V46:V48"/>
    <mergeCell ref="W46:W48"/>
    <mergeCell ref="N47:O47"/>
    <mergeCell ref="N48:O48"/>
    <mergeCell ref="J46:J48"/>
    <mergeCell ref="K46:K48"/>
    <mergeCell ref="L46:L48"/>
    <mergeCell ref="M46:M48"/>
    <mergeCell ref="T46:T48"/>
    <mergeCell ref="U46:U48"/>
    <mergeCell ref="V43:V45"/>
    <mergeCell ref="W43:W45"/>
    <mergeCell ref="N44:O44"/>
    <mergeCell ref="N45:O45"/>
    <mergeCell ref="B46:B48"/>
    <mergeCell ref="C46:C48"/>
    <mergeCell ref="D46:D48"/>
    <mergeCell ref="E46:F48"/>
    <mergeCell ref="G46:H48"/>
    <mergeCell ref="I46:I48"/>
    <mergeCell ref="J43:J45"/>
    <mergeCell ref="K43:K45"/>
    <mergeCell ref="L43:L45"/>
    <mergeCell ref="M43:M45"/>
    <mergeCell ref="T43:T45"/>
    <mergeCell ref="U43:U45"/>
    <mergeCell ref="V40:V42"/>
    <mergeCell ref="W40:W42"/>
    <mergeCell ref="N41:O41"/>
    <mergeCell ref="N42:O42"/>
    <mergeCell ref="B43:B45"/>
    <mergeCell ref="C43:C45"/>
    <mergeCell ref="D43:D45"/>
    <mergeCell ref="E43:F45"/>
    <mergeCell ref="G43:H45"/>
    <mergeCell ref="I43:I45"/>
    <mergeCell ref="J40:J42"/>
    <mergeCell ref="K40:K42"/>
    <mergeCell ref="L40:L42"/>
    <mergeCell ref="M40:M42"/>
    <mergeCell ref="T40:T42"/>
    <mergeCell ref="U40:U42"/>
    <mergeCell ref="V37:V39"/>
    <mergeCell ref="W37:W39"/>
    <mergeCell ref="N38:O38"/>
    <mergeCell ref="N39:O39"/>
    <mergeCell ref="B40:B42"/>
    <mergeCell ref="C40:C42"/>
    <mergeCell ref="D40:D42"/>
    <mergeCell ref="E40:F42"/>
    <mergeCell ref="G40:H42"/>
    <mergeCell ref="I40:I42"/>
    <mergeCell ref="J37:J39"/>
    <mergeCell ref="K37:K39"/>
    <mergeCell ref="L37:L39"/>
    <mergeCell ref="M37:M39"/>
    <mergeCell ref="T37:T39"/>
    <mergeCell ref="U37:U39"/>
    <mergeCell ref="B37:B39"/>
    <mergeCell ref="C37:C39"/>
    <mergeCell ref="D37:D39"/>
    <mergeCell ref="E37:F39"/>
    <mergeCell ref="G37:H39"/>
    <mergeCell ref="I37:I39"/>
    <mergeCell ref="L34:L36"/>
    <mergeCell ref="M34:M36"/>
    <mergeCell ref="T34:T36"/>
    <mergeCell ref="U34:U36"/>
    <mergeCell ref="V34:V36"/>
    <mergeCell ref="W34:W36"/>
    <mergeCell ref="N35:O35"/>
    <mergeCell ref="N36:O36"/>
    <mergeCell ref="D34:D36"/>
    <mergeCell ref="E34:F36"/>
    <mergeCell ref="G34:H36"/>
    <mergeCell ref="I34:I36"/>
    <mergeCell ref="J34:J36"/>
    <mergeCell ref="K34:K36"/>
    <mergeCell ref="L31:L33"/>
    <mergeCell ref="M31:M33"/>
    <mergeCell ref="T31:T33"/>
    <mergeCell ref="U31:U33"/>
    <mergeCell ref="V31:V33"/>
    <mergeCell ref="W31:W33"/>
    <mergeCell ref="N32:O32"/>
    <mergeCell ref="N33:O33"/>
    <mergeCell ref="V28:V30"/>
    <mergeCell ref="W28:W30"/>
    <mergeCell ref="N29:O29"/>
    <mergeCell ref="N30:O30"/>
    <mergeCell ref="D31:D33"/>
    <mergeCell ref="E31:F33"/>
    <mergeCell ref="G31:H33"/>
    <mergeCell ref="I31:I33"/>
    <mergeCell ref="J31:J33"/>
    <mergeCell ref="K31:K33"/>
    <mergeCell ref="J28:J30"/>
    <mergeCell ref="K28:K30"/>
    <mergeCell ref="L28:L30"/>
    <mergeCell ref="M28:M30"/>
    <mergeCell ref="T28:T30"/>
    <mergeCell ref="U28:U30"/>
    <mergeCell ref="V25:V27"/>
    <mergeCell ref="W25:W27"/>
    <mergeCell ref="N26:O26"/>
    <mergeCell ref="N27:O27"/>
    <mergeCell ref="B28:B36"/>
    <mergeCell ref="C28:C36"/>
    <mergeCell ref="D28:D30"/>
    <mergeCell ref="E28:F30"/>
    <mergeCell ref="G28:H30"/>
    <mergeCell ref="I28:I30"/>
    <mergeCell ref="J25:J27"/>
    <mergeCell ref="K25:K27"/>
    <mergeCell ref="L25:L27"/>
    <mergeCell ref="M25:M27"/>
    <mergeCell ref="T25:T27"/>
    <mergeCell ref="U25:U27"/>
    <mergeCell ref="B25:B27"/>
    <mergeCell ref="C25:C27"/>
    <mergeCell ref="D25:D27"/>
    <mergeCell ref="E25:F27"/>
    <mergeCell ref="G25:H27"/>
    <mergeCell ref="I25:I27"/>
    <mergeCell ref="M22:M24"/>
    <mergeCell ref="T22:T24"/>
    <mergeCell ref="U22:U24"/>
    <mergeCell ref="V22:V24"/>
    <mergeCell ref="W22:W24"/>
    <mergeCell ref="N23:O23"/>
    <mergeCell ref="N24:O24"/>
    <mergeCell ref="W19:W21"/>
    <mergeCell ref="N20:O20"/>
    <mergeCell ref="N21:O21"/>
    <mergeCell ref="D22:D24"/>
    <mergeCell ref="E22:F24"/>
    <mergeCell ref="G22:H24"/>
    <mergeCell ref="I22:I24"/>
    <mergeCell ref="J22:J24"/>
    <mergeCell ref="K22:K24"/>
    <mergeCell ref="L22:L24"/>
    <mergeCell ref="K19:K21"/>
    <mergeCell ref="L19:L21"/>
    <mergeCell ref="M19:M21"/>
    <mergeCell ref="T19:T21"/>
    <mergeCell ref="U19:U21"/>
    <mergeCell ref="V19:V21"/>
    <mergeCell ref="AG18:AI18"/>
    <mergeCell ref="AJ18:AL18"/>
    <mergeCell ref="AM18:AO18"/>
    <mergeCell ref="B19:B24"/>
    <mergeCell ref="C19:C24"/>
    <mergeCell ref="D19:D21"/>
    <mergeCell ref="E19:F21"/>
    <mergeCell ref="G19:H21"/>
    <mergeCell ref="I19:I21"/>
    <mergeCell ref="J19:J21"/>
    <mergeCell ref="R17:R18"/>
    <mergeCell ref="S17:S18"/>
    <mergeCell ref="T17:T18"/>
    <mergeCell ref="U17:U18"/>
    <mergeCell ref="AA18:AC18"/>
    <mergeCell ref="AD18:AF18"/>
    <mergeCell ref="I16:I18"/>
    <mergeCell ref="J16:J18"/>
    <mergeCell ref="K16:K18"/>
    <mergeCell ref="L16:L18"/>
    <mergeCell ref="M16:M18"/>
    <mergeCell ref="T16:U16"/>
    <mergeCell ref="N17:N18"/>
    <mergeCell ref="O17:O18"/>
    <mergeCell ref="P17:P18"/>
    <mergeCell ref="Q17:Q18"/>
    <mergeCell ref="B15:M15"/>
    <mergeCell ref="N15:O16"/>
    <mergeCell ref="P15:S16"/>
    <mergeCell ref="T15:U15"/>
    <mergeCell ref="V15:W15"/>
    <mergeCell ref="B16:B18"/>
    <mergeCell ref="C16:C18"/>
    <mergeCell ref="D16:D18"/>
    <mergeCell ref="E16:F18"/>
    <mergeCell ref="G16:H18"/>
    <mergeCell ref="B13:M13"/>
    <mergeCell ref="N13:W13"/>
    <mergeCell ref="C14:D14"/>
    <mergeCell ref="F14:G14"/>
    <mergeCell ref="I14:M14"/>
    <mergeCell ref="N14:O14"/>
    <mergeCell ref="P14:R14"/>
    <mergeCell ref="T14:W14"/>
    <mergeCell ref="F11:I11"/>
    <mergeCell ref="K11:T11"/>
    <mergeCell ref="C12:E12"/>
    <mergeCell ref="F12:I12"/>
    <mergeCell ref="K12:T12"/>
    <mergeCell ref="U12:W12"/>
    <mergeCell ref="B8:W8"/>
    <mergeCell ref="B9:E9"/>
    <mergeCell ref="F9:I9"/>
    <mergeCell ref="J9:T9"/>
    <mergeCell ref="U9:W9"/>
    <mergeCell ref="C10:E10"/>
    <mergeCell ref="F10:I10"/>
    <mergeCell ref="K10:T10"/>
    <mergeCell ref="U10:W11"/>
    <mergeCell ref="C11:E11"/>
    <mergeCell ref="D2:W2"/>
    <mergeCell ref="D3:W3"/>
    <mergeCell ref="B6:W6"/>
    <mergeCell ref="C7:D7"/>
    <mergeCell ref="F7:G7"/>
    <mergeCell ref="I7:O7"/>
    <mergeCell ref="P7:S7"/>
    <mergeCell ref="T7:W7"/>
  </mergeCells>
  <pageMargins left="0.51181102362204722" right="0.31496062992125984" top="0.35433070866141736" bottom="0.55118110236220474" header="0.31496062992125984" footer="0.31496062992125984"/>
  <pageSetup paperSize="5" scale="75" orientation="landscape"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B1:BF71"/>
  <sheetViews>
    <sheetView tabSelected="1" topLeftCell="A2" workbookViewId="0">
      <selection activeCell="D16" sqref="D16:D18"/>
    </sheetView>
  </sheetViews>
  <sheetFormatPr baseColWidth="10" defaultRowHeight="15" x14ac:dyDescent="0.25"/>
  <cols>
    <col min="1" max="1" width="4.7109375" customWidth="1"/>
    <col min="2" max="2" width="12" customWidth="1"/>
    <col min="3" max="3" width="18.85546875" customWidth="1"/>
    <col min="4" max="4" width="19.42578125" customWidth="1"/>
    <col min="5" max="5" width="8.85546875" customWidth="1"/>
    <col min="9" max="9" width="9" customWidth="1"/>
    <col min="10" max="10" width="8.28515625" bestFit="1" customWidth="1"/>
    <col min="11" max="11" width="9.5703125" bestFit="1" customWidth="1"/>
    <col min="12" max="13" width="9.85546875" customWidth="1"/>
    <col min="14" max="14" width="5.7109375" bestFit="1" customWidth="1"/>
    <col min="15" max="15" width="5.28515625" customWidth="1"/>
    <col min="16" max="19" width="8.5703125" customWidth="1"/>
    <col min="20" max="21" width="7.28515625" customWidth="1"/>
    <col min="22" max="22" width="6.7109375" customWidth="1"/>
    <col min="23" max="23" width="8.28515625" customWidth="1"/>
    <col min="25" max="25" width="6.140625" hidden="1" customWidth="1"/>
    <col min="26" max="26" width="8.28515625" hidden="1" customWidth="1"/>
    <col min="27" max="27" width="7.85546875" hidden="1" customWidth="1"/>
    <col min="28" max="28" width="9.7109375" hidden="1" customWidth="1"/>
    <col min="29" max="29" width="8.85546875" hidden="1" customWidth="1"/>
    <col min="30" max="30" width="10.140625" hidden="1" customWidth="1"/>
    <col min="31" max="31" width="7.28515625" hidden="1" customWidth="1"/>
    <col min="32" max="32" width="7.85546875" hidden="1" customWidth="1"/>
    <col min="33" max="33" width="9.7109375" hidden="1" customWidth="1"/>
    <col min="34" max="34" width="8.7109375" hidden="1" customWidth="1"/>
    <col min="35" max="35" width="10" hidden="1" customWidth="1"/>
    <col min="36" max="36" width="8.42578125" hidden="1" customWidth="1"/>
    <col min="37" max="37" width="6.42578125" hidden="1" customWidth="1"/>
    <col min="38" max="38" width="8.7109375" hidden="1" customWidth="1"/>
    <col min="39" max="39" width="9.140625" hidden="1" customWidth="1"/>
    <col min="40" max="40" width="9.85546875" hidden="1" customWidth="1"/>
    <col min="41" max="41" width="6" hidden="1" customWidth="1"/>
    <col min="42" max="42" width="6.42578125" hidden="1" customWidth="1"/>
    <col min="43" max="43" width="8" hidden="1" customWidth="1"/>
    <col min="44" max="49" width="11.42578125" hidden="1" customWidth="1"/>
    <col min="50" max="59" width="11.42578125" customWidth="1"/>
  </cols>
  <sheetData>
    <row r="1" spans="2:47" hidden="1" x14ac:dyDescent="0.25">
      <c r="B1">
        <v>1</v>
      </c>
      <c r="C1">
        <v>2</v>
      </c>
      <c r="D1">
        <v>3</v>
      </c>
      <c r="E1">
        <v>4</v>
      </c>
      <c r="F1">
        <v>5</v>
      </c>
      <c r="G1">
        <v>6</v>
      </c>
      <c r="H1">
        <v>7</v>
      </c>
      <c r="I1">
        <v>8</v>
      </c>
      <c r="J1">
        <v>9</v>
      </c>
      <c r="K1">
        <v>10</v>
      </c>
      <c r="N1">
        <v>11</v>
      </c>
      <c r="P1">
        <v>12</v>
      </c>
      <c r="Q1">
        <v>13</v>
      </c>
      <c r="R1">
        <v>14</v>
      </c>
      <c r="S1">
        <v>15</v>
      </c>
      <c r="T1">
        <v>16</v>
      </c>
      <c r="U1">
        <v>17</v>
      </c>
      <c r="W1">
        <v>18</v>
      </c>
    </row>
    <row r="2" spans="2:47" ht="18.75" x14ac:dyDescent="0.3">
      <c r="D2" s="124" t="s">
        <v>499</v>
      </c>
      <c r="E2" s="124"/>
      <c r="F2" s="124"/>
      <c r="G2" s="124"/>
      <c r="H2" s="124"/>
      <c r="I2" s="124"/>
      <c r="J2" s="124"/>
      <c r="K2" s="124"/>
      <c r="L2" s="124"/>
      <c r="M2" s="124"/>
      <c r="N2" s="124"/>
      <c r="O2" s="124"/>
      <c r="P2" s="124"/>
      <c r="Q2" s="124"/>
      <c r="R2" s="124"/>
      <c r="S2" s="124"/>
      <c r="T2" s="124"/>
      <c r="U2" s="124"/>
      <c r="V2" s="124"/>
      <c r="W2" s="124"/>
    </row>
    <row r="3" spans="2:47" ht="18.75" x14ac:dyDescent="0.3">
      <c r="D3" s="124" t="s">
        <v>122</v>
      </c>
      <c r="E3" s="124"/>
      <c r="F3" s="124"/>
      <c r="G3" s="124"/>
      <c r="H3" s="124"/>
      <c r="I3" s="124"/>
      <c r="J3" s="124"/>
      <c r="K3" s="124"/>
      <c r="L3" s="124"/>
      <c r="M3" s="124"/>
      <c r="N3" s="124"/>
      <c r="O3" s="124"/>
      <c r="P3" s="124"/>
      <c r="Q3" s="124"/>
      <c r="R3" s="124"/>
      <c r="S3" s="124"/>
      <c r="T3" s="124"/>
      <c r="U3" s="124"/>
      <c r="V3" s="124"/>
      <c r="W3" s="124"/>
    </row>
    <row r="6" spans="2:47" ht="15.75" thickBot="1" x14ac:dyDescent="0.3">
      <c r="B6" s="73" t="s">
        <v>500</v>
      </c>
      <c r="C6" s="73"/>
      <c r="D6" s="73"/>
      <c r="E6" s="73"/>
      <c r="F6" s="73"/>
      <c r="G6" s="73"/>
      <c r="H6" s="73"/>
      <c r="I6" s="73"/>
      <c r="J6" s="73"/>
      <c r="K6" s="73"/>
      <c r="L6" s="73"/>
      <c r="M6" s="73"/>
      <c r="N6" s="73"/>
      <c r="O6" s="73"/>
      <c r="P6" s="73"/>
      <c r="Q6" s="73"/>
      <c r="R6" s="73"/>
      <c r="S6" s="73"/>
      <c r="T6" s="73"/>
      <c r="U6" s="73"/>
      <c r="V6" s="73"/>
      <c r="W6" s="73"/>
    </row>
    <row r="7" spans="2:47" ht="42" customHeight="1" thickBot="1" x14ac:dyDescent="0.3">
      <c r="B7" s="125" t="s">
        <v>124</v>
      </c>
      <c r="C7" s="126" t="s">
        <v>125</v>
      </c>
      <c r="D7" s="127"/>
      <c r="E7" s="125" t="s">
        <v>126</v>
      </c>
      <c r="F7" s="126" t="s">
        <v>127</v>
      </c>
      <c r="G7" s="127"/>
      <c r="H7" s="125" t="s">
        <v>128</v>
      </c>
      <c r="I7" s="128" t="s">
        <v>129</v>
      </c>
      <c r="J7" s="129"/>
      <c r="K7" s="129"/>
      <c r="L7" s="129"/>
      <c r="M7" s="129"/>
      <c r="N7" s="129"/>
      <c r="O7" s="130"/>
      <c r="P7" s="131" t="s">
        <v>130</v>
      </c>
      <c r="Q7" s="131"/>
      <c r="R7" s="131"/>
      <c r="S7" s="131"/>
      <c r="T7" s="132" t="s">
        <v>547</v>
      </c>
      <c r="U7" s="133"/>
      <c r="V7" s="133"/>
      <c r="W7" s="134"/>
    </row>
    <row r="8" spans="2:47" ht="15.75" thickBot="1" x14ac:dyDescent="0.3">
      <c r="B8" s="135" t="s">
        <v>132</v>
      </c>
      <c r="C8" s="135"/>
      <c r="D8" s="135"/>
      <c r="E8" s="135"/>
      <c r="F8" s="135"/>
      <c r="G8" s="135"/>
      <c r="H8" s="135"/>
      <c r="I8" s="135"/>
      <c r="J8" s="135"/>
      <c r="K8" s="135"/>
      <c r="L8" s="135"/>
      <c r="M8" s="135"/>
      <c r="N8" s="135"/>
      <c r="O8" s="135"/>
      <c r="P8" s="135"/>
      <c r="Q8" s="135"/>
      <c r="R8" s="135"/>
      <c r="S8" s="135"/>
      <c r="T8" s="135"/>
      <c r="U8" s="135"/>
      <c r="V8" s="135"/>
      <c r="W8" s="135"/>
    </row>
    <row r="9" spans="2:47" ht="15.75" thickBot="1" x14ac:dyDescent="0.3">
      <c r="B9" s="136" t="s">
        <v>133</v>
      </c>
      <c r="C9" s="136"/>
      <c r="D9" s="136"/>
      <c r="E9" s="136"/>
      <c r="F9" s="137" t="s">
        <v>134</v>
      </c>
      <c r="G9" s="137"/>
      <c r="H9" s="137"/>
      <c r="I9" s="137"/>
      <c r="J9" s="138" t="s">
        <v>135</v>
      </c>
      <c r="K9" s="139"/>
      <c r="L9" s="139"/>
      <c r="M9" s="139"/>
      <c r="N9" s="139"/>
      <c r="O9" s="139"/>
      <c r="P9" s="139"/>
      <c r="Q9" s="139"/>
      <c r="R9" s="139"/>
      <c r="S9" s="139"/>
      <c r="T9" s="140"/>
      <c r="U9" s="138" t="s">
        <v>136</v>
      </c>
      <c r="V9" s="139"/>
      <c r="W9" s="140"/>
    </row>
    <row r="10" spans="2:47" ht="18" customHeight="1" thickBot="1" x14ac:dyDescent="0.3">
      <c r="B10" s="141" t="s">
        <v>137</v>
      </c>
      <c r="C10" s="142" t="s">
        <v>138</v>
      </c>
      <c r="D10" s="143"/>
      <c r="E10" s="144"/>
      <c r="F10" s="128" t="s">
        <v>139</v>
      </c>
      <c r="G10" s="129"/>
      <c r="H10" s="129"/>
      <c r="I10" s="130"/>
      <c r="J10" s="145" t="s">
        <v>5</v>
      </c>
      <c r="K10" s="128" t="s">
        <v>548</v>
      </c>
      <c r="L10" s="129"/>
      <c r="M10" s="129"/>
      <c r="N10" s="129"/>
      <c r="O10" s="129"/>
      <c r="P10" s="129"/>
      <c r="Q10" s="129"/>
      <c r="R10" s="129"/>
      <c r="S10" s="129"/>
      <c r="T10" s="130"/>
      <c r="U10" s="146" t="s">
        <v>141</v>
      </c>
      <c r="V10" s="147"/>
      <c r="W10" s="148"/>
    </row>
    <row r="11" spans="2:47" ht="25.5" customHeight="1" thickBot="1" x14ac:dyDescent="0.3">
      <c r="B11" s="141" t="s">
        <v>142</v>
      </c>
      <c r="C11" s="126" t="s">
        <v>143</v>
      </c>
      <c r="D11" s="149"/>
      <c r="E11" s="127"/>
      <c r="F11" s="128" t="s">
        <v>144</v>
      </c>
      <c r="G11" s="129"/>
      <c r="H11" s="129"/>
      <c r="I11" s="130"/>
      <c r="J11" s="145" t="s">
        <v>6</v>
      </c>
      <c r="K11" s="126" t="s">
        <v>549</v>
      </c>
      <c r="L11" s="149"/>
      <c r="M11" s="149"/>
      <c r="N11" s="149"/>
      <c r="O11" s="149"/>
      <c r="P11" s="149"/>
      <c r="Q11" s="149"/>
      <c r="R11" s="149"/>
      <c r="S11" s="149"/>
      <c r="T11" s="127"/>
      <c r="U11" s="150"/>
      <c r="V11" s="151"/>
      <c r="W11" s="152"/>
    </row>
    <row r="12" spans="2:47" ht="50.25" customHeight="1" thickBot="1" x14ac:dyDescent="0.3">
      <c r="B12" s="145" t="s">
        <v>6</v>
      </c>
      <c r="C12" s="126" t="s">
        <v>146</v>
      </c>
      <c r="D12" s="149"/>
      <c r="E12" s="127"/>
      <c r="F12" s="126" t="s">
        <v>147</v>
      </c>
      <c r="G12" s="149"/>
      <c r="H12" s="149"/>
      <c r="I12" s="127"/>
      <c r="J12" s="145" t="s">
        <v>148</v>
      </c>
      <c r="K12" s="142" t="s">
        <v>550</v>
      </c>
      <c r="L12" s="143"/>
      <c r="M12" s="143"/>
      <c r="N12" s="143"/>
      <c r="O12" s="143"/>
      <c r="P12" s="143"/>
      <c r="Q12" s="143"/>
      <c r="R12" s="143"/>
      <c r="S12" s="143"/>
      <c r="T12" s="144"/>
      <c r="U12" s="153" t="s">
        <v>150</v>
      </c>
      <c r="V12" s="154"/>
      <c r="W12" s="155"/>
    </row>
    <row r="13" spans="2:47" ht="15.75" thickBot="1" x14ac:dyDescent="0.3">
      <c r="B13" s="138" t="s">
        <v>153</v>
      </c>
      <c r="C13" s="139"/>
      <c r="D13" s="139"/>
      <c r="E13" s="139"/>
      <c r="F13" s="139"/>
      <c r="G13" s="139"/>
      <c r="H13" s="139"/>
      <c r="I13" s="139"/>
      <c r="J13" s="139"/>
      <c r="K13" s="139"/>
      <c r="L13" s="139"/>
      <c r="M13" s="140"/>
      <c r="N13" s="138" t="s">
        <v>154</v>
      </c>
      <c r="O13" s="139"/>
      <c r="P13" s="139"/>
      <c r="Q13" s="139"/>
      <c r="R13" s="139"/>
      <c r="S13" s="139"/>
      <c r="T13" s="139"/>
      <c r="U13" s="139"/>
      <c r="V13" s="139"/>
      <c r="W13" s="140"/>
    </row>
    <row r="14" spans="2:47" ht="15.75" thickBot="1" x14ac:dyDescent="0.3">
      <c r="B14" s="159" t="s">
        <v>155</v>
      </c>
      <c r="C14" s="160" t="s">
        <v>156</v>
      </c>
      <c r="D14" s="161"/>
      <c r="E14" s="159" t="s">
        <v>157</v>
      </c>
      <c r="F14" s="160" t="s">
        <v>158</v>
      </c>
      <c r="G14" s="161"/>
      <c r="H14" s="159" t="s">
        <v>159</v>
      </c>
      <c r="I14" s="162" t="s">
        <v>160</v>
      </c>
      <c r="J14" s="163"/>
      <c r="K14" s="163"/>
      <c r="L14" s="163"/>
      <c r="M14" s="164"/>
      <c r="N14" s="165" t="s">
        <v>161</v>
      </c>
      <c r="O14" s="166"/>
      <c r="P14" s="160" t="s">
        <v>162</v>
      </c>
      <c r="Q14" s="167"/>
      <c r="R14" s="161"/>
      <c r="S14" s="159" t="s">
        <v>163</v>
      </c>
      <c r="T14" s="160" t="s">
        <v>164</v>
      </c>
      <c r="U14" s="167"/>
      <c r="V14" s="167"/>
      <c r="W14" s="161"/>
      <c r="AA14" s="93" t="s">
        <v>551</v>
      </c>
      <c r="AB14" s="93"/>
      <c r="AC14" s="93"/>
      <c r="AD14" s="93"/>
      <c r="AF14" s="93" t="s">
        <v>552</v>
      </c>
      <c r="AG14" s="93"/>
      <c r="AH14" s="93"/>
      <c r="AI14" s="93"/>
      <c r="AK14" s="93" t="s">
        <v>553</v>
      </c>
      <c r="AL14" s="93"/>
      <c r="AM14" s="93"/>
      <c r="AN14" s="93"/>
      <c r="AO14" s="72"/>
      <c r="AP14" s="93" t="s">
        <v>554</v>
      </c>
      <c r="AQ14" s="93"/>
      <c r="AR14" s="93"/>
      <c r="AS14" s="93"/>
      <c r="AT14" s="72"/>
      <c r="AU14" t="s">
        <v>555</v>
      </c>
    </row>
    <row r="15" spans="2:47" ht="15.75" thickBot="1" x14ac:dyDescent="0.3">
      <c r="B15" s="168" t="s">
        <v>165</v>
      </c>
      <c r="C15" s="169"/>
      <c r="D15" s="169"/>
      <c r="E15" s="169"/>
      <c r="F15" s="169"/>
      <c r="G15" s="169"/>
      <c r="H15" s="169"/>
      <c r="I15" s="169"/>
      <c r="J15" s="169"/>
      <c r="K15" s="169"/>
      <c r="L15" s="169"/>
      <c r="M15" s="170"/>
      <c r="N15" s="171" t="s">
        <v>166</v>
      </c>
      <c r="O15" s="172"/>
      <c r="P15" s="173" t="s">
        <v>167</v>
      </c>
      <c r="Q15" s="174"/>
      <c r="R15" s="174"/>
      <c r="S15" s="174"/>
      <c r="T15" s="137" t="s">
        <v>168</v>
      </c>
      <c r="U15" s="137"/>
      <c r="V15" s="138" t="s">
        <v>169</v>
      </c>
      <c r="W15" s="140"/>
      <c r="Y15" s="19" t="s">
        <v>170</v>
      </c>
      <c r="Z15" s="19" t="s">
        <v>171</v>
      </c>
    </row>
    <row r="16" spans="2:47" ht="18.75" customHeight="1" thickBot="1" x14ac:dyDescent="0.3">
      <c r="B16" s="175" t="s">
        <v>3</v>
      </c>
      <c r="C16" s="175" t="s">
        <v>6</v>
      </c>
      <c r="D16" s="175" t="s">
        <v>172</v>
      </c>
      <c r="E16" s="176" t="s">
        <v>173</v>
      </c>
      <c r="F16" s="177"/>
      <c r="G16" s="176" t="s">
        <v>174</v>
      </c>
      <c r="H16" s="177"/>
      <c r="I16" s="175" t="s">
        <v>175</v>
      </c>
      <c r="J16" s="175" t="s">
        <v>176</v>
      </c>
      <c r="K16" s="175" t="s">
        <v>9</v>
      </c>
      <c r="L16" s="175" t="s">
        <v>11</v>
      </c>
      <c r="M16" s="175" t="s">
        <v>177</v>
      </c>
      <c r="N16" s="178"/>
      <c r="O16" s="179"/>
      <c r="P16" s="180"/>
      <c r="Q16" s="181"/>
      <c r="R16" s="181"/>
      <c r="S16" s="181"/>
      <c r="T16" s="137" t="s">
        <v>556</v>
      </c>
      <c r="U16" s="138"/>
      <c r="V16" s="184" t="s">
        <v>35</v>
      </c>
      <c r="W16" s="185" t="s">
        <v>179</v>
      </c>
    </row>
    <row r="17" spans="2:49" ht="18.75" customHeight="1" x14ac:dyDescent="0.25">
      <c r="B17" s="186"/>
      <c r="C17" s="186"/>
      <c r="D17" s="186"/>
      <c r="E17" s="187"/>
      <c r="F17" s="188"/>
      <c r="G17" s="187"/>
      <c r="H17" s="188"/>
      <c r="I17" s="186"/>
      <c r="J17" s="186"/>
      <c r="K17" s="186"/>
      <c r="L17" s="186"/>
      <c r="M17" s="186"/>
      <c r="N17" s="189" t="s">
        <v>180</v>
      </c>
      <c r="O17" s="189" t="s">
        <v>181</v>
      </c>
      <c r="P17" s="189" t="s">
        <v>182</v>
      </c>
      <c r="Q17" s="189" t="s">
        <v>183</v>
      </c>
      <c r="R17" s="189" t="s">
        <v>184</v>
      </c>
      <c r="S17" s="189" t="s">
        <v>185</v>
      </c>
      <c r="T17" s="189" t="s">
        <v>186</v>
      </c>
      <c r="U17" s="192" t="s">
        <v>27</v>
      </c>
      <c r="V17" s="193" t="s">
        <v>36</v>
      </c>
      <c r="W17" s="194" t="s">
        <v>557</v>
      </c>
    </row>
    <row r="18" spans="2:49" ht="15.75" thickBot="1" x14ac:dyDescent="0.3">
      <c r="B18" s="199"/>
      <c r="C18" s="199"/>
      <c r="D18" s="199"/>
      <c r="E18" s="200"/>
      <c r="F18" s="201"/>
      <c r="G18" s="200"/>
      <c r="H18" s="201"/>
      <c r="I18" s="199"/>
      <c r="J18" s="199"/>
      <c r="K18" s="199"/>
      <c r="L18" s="199"/>
      <c r="M18" s="199"/>
      <c r="N18" s="202"/>
      <c r="O18" s="202"/>
      <c r="P18" s="202"/>
      <c r="Q18" s="202"/>
      <c r="R18" s="202"/>
      <c r="S18" s="202"/>
      <c r="T18" s="202"/>
      <c r="U18" s="205"/>
      <c r="V18" s="206" t="s">
        <v>37</v>
      </c>
      <c r="W18" s="207" t="s">
        <v>558</v>
      </c>
    </row>
    <row r="19" spans="2:49" ht="75" customHeight="1" thickBot="1" x14ac:dyDescent="0.3">
      <c r="B19" s="791" t="s">
        <v>203</v>
      </c>
      <c r="C19" s="175" t="s">
        <v>204</v>
      </c>
      <c r="D19" s="826" t="s">
        <v>205</v>
      </c>
      <c r="E19" s="227" t="s">
        <v>206</v>
      </c>
      <c r="F19" s="228"/>
      <c r="G19" s="176" t="s">
        <v>207</v>
      </c>
      <c r="H19" s="177"/>
      <c r="I19" s="827" t="s">
        <v>208</v>
      </c>
      <c r="J19" s="828" t="s">
        <v>209</v>
      </c>
      <c r="K19" s="827" t="s">
        <v>10</v>
      </c>
      <c r="L19" s="828" t="s">
        <v>12</v>
      </c>
      <c r="M19" s="827" t="s">
        <v>19</v>
      </c>
      <c r="N19" s="829">
        <v>2021</v>
      </c>
      <c r="O19" s="214">
        <v>3.2</v>
      </c>
      <c r="P19" s="214">
        <v>3.2</v>
      </c>
      <c r="Q19" s="214">
        <v>3.2</v>
      </c>
      <c r="R19" s="214">
        <v>3.2</v>
      </c>
      <c r="S19" s="214">
        <v>3.2</v>
      </c>
      <c r="T19" s="214">
        <v>69</v>
      </c>
      <c r="U19" s="214">
        <v>3.5</v>
      </c>
      <c r="V19" s="830" t="s">
        <v>35</v>
      </c>
      <c r="W19" s="219">
        <f>+U19/O19-1</f>
        <v>9.375E-2</v>
      </c>
      <c r="Y19">
        <v>2</v>
      </c>
      <c r="Z19">
        <v>17</v>
      </c>
      <c r="AA19">
        <v>69</v>
      </c>
      <c r="AB19">
        <f>1971520/100000</f>
        <v>19.715199999999999</v>
      </c>
      <c r="AD19" s="220">
        <f>+AA19/AB19</f>
        <v>3.4998376886869016</v>
      </c>
      <c r="AF19" s="220">
        <v>69</v>
      </c>
      <c r="AG19" s="220">
        <f>1971520/100000</f>
        <v>19.715199999999999</v>
      </c>
      <c r="AI19" s="220">
        <f>+AF19/AG19</f>
        <v>3.4998376886869016</v>
      </c>
      <c r="AK19" s="220">
        <v>69</v>
      </c>
      <c r="AL19" s="220">
        <f>1971520/100000</f>
        <v>19.715199999999999</v>
      </c>
      <c r="AN19" s="220">
        <f>+AK19/AL19</f>
        <v>3.4998376886869016</v>
      </c>
    </row>
    <row r="20" spans="2:49" ht="75" customHeight="1" thickBot="1" x14ac:dyDescent="0.3">
      <c r="B20" s="806"/>
      <c r="C20" s="199"/>
      <c r="D20" s="210" t="s">
        <v>559</v>
      </c>
      <c r="E20" s="126" t="s">
        <v>560</v>
      </c>
      <c r="F20" s="127"/>
      <c r="G20" s="126" t="s">
        <v>561</v>
      </c>
      <c r="H20" s="127"/>
      <c r="I20" s="213" t="s">
        <v>208</v>
      </c>
      <c r="J20" s="213" t="s">
        <v>213</v>
      </c>
      <c r="K20" s="213" t="s">
        <v>10</v>
      </c>
      <c r="L20" s="213" t="s">
        <v>12</v>
      </c>
      <c r="M20" s="213" t="s">
        <v>19</v>
      </c>
      <c r="N20" s="145">
        <v>2021</v>
      </c>
      <c r="O20" s="214">
        <v>0.25</v>
      </c>
      <c r="P20" s="214">
        <v>0.25</v>
      </c>
      <c r="Q20" s="831">
        <f>+AI20</f>
        <v>0.25361142671644216</v>
      </c>
      <c r="R20" s="831">
        <f>+AN20</f>
        <v>0.25361142671644216</v>
      </c>
      <c r="S20" s="831"/>
      <c r="T20" s="214">
        <f>+AA20</f>
        <v>5</v>
      </c>
      <c r="U20" s="831">
        <f>+AD20</f>
        <v>0.25361142671644216</v>
      </c>
      <c r="V20" s="830" t="s">
        <v>35</v>
      </c>
      <c r="W20" s="219">
        <f>+U20/O20-1</f>
        <v>1.4445706865768626E-2</v>
      </c>
      <c r="AA20" s="220">
        <v>5</v>
      </c>
      <c r="AB20" s="220">
        <f>1971520/100000</f>
        <v>19.715199999999999</v>
      </c>
      <c r="AC20" s="220"/>
      <c r="AD20" s="220">
        <f>+AA20/AB20</f>
        <v>0.25361142671644216</v>
      </c>
      <c r="AE20" s="220"/>
      <c r="AF20" s="220">
        <v>5</v>
      </c>
      <c r="AG20" s="220">
        <f>1971520/100000</f>
        <v>19.715199999999999</v>
      </c>
      <c r="AH20" s="220"/>
      <c r="AI20" s="220">
        <f>+AF20/AG20</f>
        <v>0.25361142671644216</v>
      </c>
      <c r="AJ20" s="220"/>
      <c r="AK20" s="220">
        <v>5</v>
      </c>
      <c r="AL20" s="220">
        <f>1971520/100000</f>
        <v>19.715199999999999</v>
      </c>
      <c r="AM20" s="220"/>
      <c r="AN20" s="220">
        <f>+AK20/AL20</f>
        <v>0.25361142671644216</v>
      </c>
      <c r="AO20" s="220"/>
      <c r="AP20" s="220"/>
      <c r="AQ20" s="220"/>
      <c r="AR20" s="220"/>
      <c r="AS20" s="220"/>
      <c r="AT20" s="220"/>
      <c r="AU20" s="220"/>
      <c r="AV20" s="220"/>
      <c r="AW20" s="220"/>
    </row>
    <row r="21" spans="2:49" ht="54.95" customHeight="1" thickBot="1" x14ac:dyDescent="0.3">
      <c r="B21" s="791" t="s">
        <v>214</v>
      </c>
      <c r="C21" s="832" t="s">
        <v>562</v>
      </c>
      <c r="D21" s="209" t="s">
        <v>563</v>
      </c>
      <c r="E21" s="227" t="s">
        <v>564</v>
      </c>
      <c r="F21" s="228"/>
      <c r="G21" s="176" t="s">
        <v>565</v>
      </c>
      <c r="H21" s="177"/>
      <c r="I21" s="189" t="s">
        <v>25</v>
      </c>
      <c r="J21" s="189" t="s">
        <v>209</v>
      </c>
      <c r="K21" s="189" t="s">
        <v>10</v>
      </c>
      <c r="L21" s="189" t="s">
        <v>12</v>
      </c>
      <c r="M21" s="189" t="s">
        <v>23</v>
      </c>
      <c r="N21" s="145">
        <v>2022</v>
      </c>
      <c r="O21" s="230">
        <v>0.7</v>
      </c>
      <c r="P21" s="230">
        <v>0.7</v>
      </c>
      <c r="Q21" s="230">
        <v>0.7</v>
      </c>
      <c r="R21" s="230">
        <v>0.7</v>
      </c>
      <c r="S21" s="230">
        <v>0.7</v>
      </c>
      <c r="T21" s="791">
        <f>+AU21</f>
        <v>209</v>
      </c>
      <c r="U21" s="232">
        <f>+AW21</f>
        <v>0.60230547550432278</v>
      </c>
      <c r="V21" s="833" t="s">
        <v>36</v>
      </c>
      <c r="W21" s="234">
        <f>+U21/O21-1</f>
        <v>-0.13956360642239596</v>
      </c>
      <c r="AA21" s="220">
        <v>62</v>
      </c>
      <c r="AB21" s="220">
        <v>103</v>
      </c>
      <c r="AC21" s="220"/>
      <c r="AD21" s="220">
        <f>+AA21/AB21</f>
        <v>0.60194174757281549</v>
      </c>
      <c r="AE21" s="220"/>
      <c r="AF21" s="220">
        <v>72</v>
      </c>
      <c r="AG21" s="220">
        <v>110</v>
      </c>
      <c r="AH21" s="220"/>
      <c r="AI21" s="220">
        <f>+AF21/AG21</f>
        <v>0.65454545454545454</v>
      </c>
      <c r="AJ21" s="220"/>
      <c r="AK21" s="220">
        <v>75</v>
      </c>
      <c r="AL21" s="220">
        <v>134</v>
      </c>
      <c r="AM21" s="220"/>
      <c r="AN21" s="220">
        <f>+AK21/AL21</f>
        <v>0.55970149253731338</v>
      </c>
      <c r="AO21" s="220"/>
      <c r="AP21" s="220"/>
      <c r="AQ21" s="220"/>
      <c r="AR21" s="220"/>
      <c r="AS21" s="220"/>
      <c r="AT21" s="220"/>
      <c r="AU21" s="220">
        <f>+AA21+AF21+AK21+AP21</f>
        <v>209</v>
      </c>
      <c r="AV21" s="220">
        <f>+AB21+AG21+AL21+AQ21</f>
        <v>347</v>
      </c>
      <c r="AW21" s="220">
        <f>+AU21/AV21</f>
        <v>0.60230547550432278</v>
      </c>
    </row>
    <row r="22" spans="2:49" ht="54.95" customHeight="1" thickBot="1" x14ac:dyDescent="0.3">
      <c r="B22" s="802"/>
      <c r="C22" s="834"/>
      <c r="D22" s="240"/>
      <c r="E22" s="241"/>
      <c r="F22" s="242"/>
      <c r="G22" s="187"/>
      <c r="H22" s="188"/>
      <c r="I22" s="835"/>
      <c r="J22" s="835"/>
      <c r="K22" s="835"/>
      <c r="L22" s="835"/>
      <c r="M22" s="835"/>
      <c r="N22" s="800" t="s">
        <v>219</v>
      </c>
      <c r="O22" s="801"/>
      <c r="P22" s="244">
        <f>+AA21</f>
        <v>62</v>
      </c>
      <c r="Q22" s="244">
        <f>+AF21</f>
        <v>72</v>
      </c>
      <c r="R22" s="244">
        <f>+AK21</f>
        <v>75</v>
      </c>
      <c r="S22" s="244"/>
      <c r="T22" s="802"/>
      <c r="U22" s="246"/>
      <c r="V22" s="836"/>
      <c r="W22" s="248"/>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row>
    <row r="23" spans="2:49" ht="54.95" customHeight="1" thickBot="1" x14ac:dyDescent="0.3">
      <c r="B23" s="806"/>
      <c r="C23" s="837"/>
      <c r="D23" s="224"/>
      <c r="E23" s="142"/>
      <c r="F23" s="144"/>
      <c r="G23" s="200"/>
      <c r="H23" s="201"/>
      <c r="I23" s="202"/>
      <c r="J23" s="202"/>
      <c r="K23" s="202"/>
      <c r="L23" s="202"/>
      <c r="M23" s="202"/>
      <c r="N23" s="800" t="s">
        <v>220</v>
      </c>
      <c r="O23" s="801"/>
      <c r="P23" s="250">
        <f>+AD21</f>
        <v>0.60194174757281549</v>
      </c>
      <c r="Q23" s="250">
        <f>+AI21</f>
        <v>0.65454545454545454</v>
      </c>
      <c r="R23" s="250">
        <f>+AN21</f>
        <v>0.55970149253731338</v>
      </c>
      <c r="S23" s="230"/>
      <c r="T23" s="806"/>
      <c r="U23" s="252"/>
      <c r="V23" s="838"/>
      <c r="W23" s="254"/>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row>
    <row r="24" spans="2:49" ht="39.950000000000003" customHeight="1" thickBot="1" x14ac:dyDescent="0.3">
      <c r="B24" s="814" t="s">
        <v>566</v>
      </c>
      <c r="C24" s="175" t="s">
        <v>567</v>
      </c>
      <c r="D24" s="175" t="s">
        <v>568</v>
      </c>
      <c r="E24" s="227" t="s">
        <v>569</v>
      </c>
      <c r="F24" s="228"/>
      <c r="G24" s="176" t="s">
        <v>570</v>
      </c>
      <c r="H24" s="177"/>
      <c r="I24" s="189" t="s">
        <v>25</v>
      </c>
      <c r="J24" s="189" t="s">
        <v>8</v>
      </c>
      <c r="K24" s="189" t="s">
        <v>10</v>
      </c>
      <c r="L24" s="189" t="s">
        <v>12</v>
      </c>
      <c r="M24" s="189" t="s">
        <v>23</v>
      </c>
      <c r="N24" s="145">
        <v>2022</v>
      </c>
      <c r="O24" s="230">
        <v>0.4</v>
      </c>
      <c r="P24" s="230">
        <v>0.4</v>
      </c>
      <c r="Q24" s="230">
        <v>0.4</v>
      </c>
      <c r="R24" s="230">
        <v>0.4</v>
      </c>
      <c r="S24" s="230">
        <v>0.4</v>
      </c>
      <c r="T24" s="231">
        <f>SUM(P25:S25)</f>
        <v>131</v>
      </c>
      <c r="U24" s="232">
        <f>+AW24</f>
        <v>0.62679425837320579</v>
      </c>
      <c r="V24" s="839" t="s">
        <v>35</v>
      </c>
      <c r="W24" s="234">
        <f t="shared" ref="W24:W39" si="0">+U24/O24-1</f>
        <v>0.56698564593301448</v>
      </c>
      <c r="AA24" s="220">
        <v>48</v>
      </c>
      <c r="AB24" s="220">
        <v>62</v>
      </c>
      <c r="AC24" s="220"/>
      <c r="AD24" s="220">
        <f>+AA24/AB24</f>
        <v>0.77419354838709675</v>
      </c>
      <c r="AE24" s="220"/>
      <c r="AF24" s="220">
        <v>41</v>
      </c>
      <c r="AG24" s="220">
        <v>72</v>
      </c>
      <c r="AH24" s="220"/>
      <c r="AI24" s="220">
        <f>+AF24/AG24</f>
        <v>0.56944444444444442</v>
      </c>
      <c r="AJ24" s="220"/>
      <c r="AK24" s="220">
        <v>42</v>
      </c>
      <c r="AL24" s="220">
        <v>75</v>
      </c>
      <c r="AM24" s="220"/>
      <c r="AN24" s="220">
        <f>+AK24/AL24</f>
        <v>0.56000000000000005</v>
      </c>
      <c r="AO24" s="220"/>
      <c r="AP24" s="220"/>
      <c r="AQ24" s="220"/>
      <c r="AR24" s="220"/>
      <c r="AS24" s="220"/>
      <c r="AT24" s="220"/>
      <c r="AU24" s="220">
        <f>+AA24+AF24+AK24+AP24</f>
        <v>131</v>
      </c>
      <c r="AV24" s="220">
        <f>+AB24+AG24+AL24+AQ24</f>
        <v>209</v>
      </c>
      <c r="AW24" s="220">
        <f>+AU24/AV24</f>
        <v>0.62679425837320579</v>
      </c>
    </row>
    <row r="25" spans="2:49" ht="39.950000000000003" customHeight="1" thickBot="1" x14ac:dyDescent="0.3">
      <c r="B25" s="815"/>
      <c r="C25" s="186"/>
      <c r="D25" s="186"/>
      <c r="E25" s="840"/>
      <c r="F25" s="841"/>
      <c r="G25" s="842"/>
      <c r="H25" s="843"/>
      <c r="I25" s="835"/>
      <c r="J25" s="835"/>
      <c r="K25" s="835"/>
      <c r="L25" s="835"/>
      <c r="M25" s="835"/>
      <c r="N25" s="800" t="s">
        <v>219</v>
      </c>
      <c r="O25" s="801"/>
      <c r="P25" s="244">
        <f>+AA24</f>
        <v>48</v>
      </c>
      <c r="Q25" s="244">
        <f>+AF24</f>
        <v>41</v>
      </c>
      <c r="R25" s="244">
        <f>+AK24</f>
        <v>42</v>
      </c>
      <c r="S25" s="244"/>
      <c r="T25" s="802"/>
      <c r="U25" s="246"/>
      <c r="V25" s="844"/>
      <c r="W25" s="248"/>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row>
    <row r="26" spans="2:49" ht="39.950000000000003" customHeight="1" thickBot="1" x14ac:dyDescent="0.3">
      <c r="B26" s="815"/>
      <c r="C26" s="186"/>
      <c r="D26" s="199"/>
      <c r="E26" s="845"/>
      <c r="F26" s="846"/>
      <c r="G26" s="847"/>
      <c r="H26" s="848"/>
      <c r="I26" s="202"/>
      <c r="J26" s="202"/>
      <c r="K26" s="202"/>
      <c r="L26" s="202"/>
      <c r="M26" s="202"/>
      <c r="N26" s="800" t="s">
        <v>220</v>
      </c>
      <c r="O26" s="801"/>
      <c r="P26" s="250">
        <f>+AD24</f>
        <v>0.77419354838709675</v>
      </c>
      <c r="Q26" s="250">
        <f>+AI24</f>
        <v>0.56944444444444442</v>
      </c>
      <c r="R26" s="250">
        <f>+AN24</f>
        <v>0.56000000000000005</v>
      </c>
      <c r="S26" s="250"/>
      <c r="T26" s="806"/>
      <c r="U26" s="252"/>
      <c r="V26" s="849"/>
      <c r="W26" s="254"/>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row>
    <row r="27" spans="2:49" ht="35.1" customHeight="1" thickBot="1" x14ac:dyDescent="0.3">
      <c r="B27" s="815"/>
      <c r="C27" s="186"/>
      <c r="D27" s="175" t="s">
        <v>571</v>
      </c>
      <c r="E27" s="227" t="s">
        <v>572</v>
      </c>
      <c r="F27" s="228"/>
      <c r="G27" s="176" t="s">
        <v>573</v>
      </c>
      <c r="H27" s="177"/>
      <c r="I27" s="189" t="s">
        <v>574</v>
      </c>
      <c r="J27" s="189" t="s">
        <v>8</v>
      </c>
      <c r="K27" s="189" t="s">
        <v>575</v>
      </c>
      <c r="L27" s="189" t="s">
        <v>79</v>
      </c>
      <c r="M27" s="189" t="s">
        <v>23</v>
      </c>
      <c r="N27" s="145">
        <v>2022</v>
      </c>
      <c r="O27" s="850">
        <v>18</v>
      </c>
      <c r="P27" s="850">
        <v>18</v>
      </c>
      <c r="Q27" s="850">
        <v>18</v>
      </c>
      <c r="R27" s="850">
        <v>18</v>
      </c>
      <c r="S27" s="850">
        <v>18</v>
      </c>
      <c r="T27" s="792">
        <v>14.4</v>
      </c>
      <c r="U27" s="792">
        <f>+AW27</f>
        <v>17.536082474226806</v>
      </c>
      <c r="V27" s="839" t="s">
        <v>35</v>
      </c>
      <c r="W27" s="234">
        <f>+U27/O27-1</f>
        <v>-2.5773195876288568E-2</v>
      </c>
      <c r="AA27" s="220">
        <v>1181</v>
      </c>
      <c r="AB27" s="220">
        <v>82</v>
      </c>
      <c r="AC27" s="220"/>
      <c r="AD27" s="220">
        <f>+AA27/AB27</f>
        <v>14.402439024390244</v>
      </c>
      <c r="AE27" s="220"/>
      <c r="AF27" s="220">
        <v>1862</v>
      </c>
      <c r="AG27" s="220">
        <v>109</v>
      </c>
      <c r="AH27" s="220"/>
      <c r="AI27" s="220">
        <f>+AF27/AG27</f>
        <v>17.082568807339449</v>
      </c>
      <c r="AJ27" s="220"/>
      <c r="AK27" s="220">
        <f>+AM57</f>
        <v>2060</v>
      </c>
      <c r="AL27" s="220">
        <f>+AM58</f>
        <v>100</v>
      </c>
      <c r="AM27" s="220"/>
      <c r="AN27" s="220">
        <f>+AK27/AL27</f>
        <v>20.6</v>
      </c>
      <c r="AO27" s="220"/>
      <c r="AP27" s="220"/>
      <c r="AQ27" s="220"/>
      <c r="AR27" s="220"/>
      <c r="AS27" s="220"/>
      <c r="AT27" s="220"/>
      <c r="AU27" s="220">
        <f>+AA27+AF27+AK27+AP27</f>
        <v>5103</v>
      </c>
      <c r="AV27" s="220">
        <f>+AB27+AG27+AL27+AQ27</f>
        <v>291</v>
      </c>
      <c r="AW27" s="220">
        <f>+AU27/AV27</f>
        <v>17.536082474226806</v>
      </c>
    </row>
    <row r="28" spans="2:49" ht="35.1" customHeight="1" thickBot="1" x14ac:dyDescent="0.3">
      <c r="B28" s="815"/>
      <c r="C28" s="186"/>
      <c r="D28" s="186"/>
      <c r="E28" s="840"/>
      <c r="F28" s="841"/>
      <c r="G28" s="842"/>
      <c r="H28" s="843"/>
      <c r="I28" s="835"/>
      <c r="J28" s="835"/>
      <c r="K28" s="835"/>
      <c r="L28" s="835"/>
      <c r="M28" s="835"/>
      <c r="N28" s="800" t="s">
        <v>528</v>
      </c>
      <c r="O28" s="801"/>
      <c r="P28" s="214">
        <v>14.4</v>
      </c>
      <c r="Q28" s="805">
        <f>+AI27</f>
        <v>17.082568807339449</v>
      </c>
      <c r="R28" s="214">
        <f>+AN27</f>
        <v>20.6</v>
      </c>
      <c r="S28" s="214"/>
      <c r="T28" s="803">
        <v>18</v>
      </c>
      <c r="U28" s="803"/>
      <c r="V28" s="844"/>
      <c r="W28" s="248"/>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row>
    <row r="29" spans="2:49" ht="35.1" customHeight="1" thickBot="1" x14ac:dyDescent="0.3">
      <c r="B29" s="815"/>
      <c r="C29" s="186"/>
      <c r="D29" s="199"/>
      <c r="E29" s="845"/>
      <c r="F29" s="846"/>
      <c r="G29" s="847"/>
      <c r="H29" s="848"/>
      <c r="I29" s="202"/>
      <c r="J29" s="202"/>
      <c r="K29" s="202"/>
      <c r="L29" s="202"/>
      <c r="M29" s="202"/>
      <c r="N29" s="800" t="s">
        <v>529</v>
      </c>
      <c r="O29" s="801"/>
      <c r="P29" s="250"/>
      <c r="Q29" s="214"/>
      <c r="R29" s="214"/>
      <c r="S29" s="214"/>
      <c r="T29" s="807"/>
      <c r="U29" s="807"/>
      <c r="V29" s="849"/>
      <c r="W29" s="254"/>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row>
    <row r="30" spans="2:49" ht="35.1" customHeight="1" thickBot="1" x14ac:dyDescent="0.3">
      <c r="B30" s="815"/>
      <c r="C30" s="186"/>
      <c r="D30" s="175" t="s">
        <v>576</v>
      </c>
      <c r="E30" s="227" t="s">
        <v>577</v>
      </c>
      <c r="F30" s="228"/>
      <c r="G30" s="176" t="s">
        <v>578</v>
      </c>
      <c r="H30" s="177"/>
      <c r="I30" s="189" t="s">
        <v>25</v>
      </c>
      <c r="J30" s="189" t="s">
        <v>8</v>
      </c>
      <c r="K30" s="189" t="s">
        <v>579</v>
      </c>
      <c r="L30" s="189" t="s">
        <v>12</v>
      </c>
      <c r="M30" s="189" t="s">
        <v>23</v>
      </c>
      <c r="N30" s="145">
        <v>2022</v>
      </c>
      <c r="O30" s="230">
        <v>0.95</v>
      </c>
      <c r="P30" s="230">
        <v>0.95</v>
      </c>
      <c r="Q30" s="230">
        <v>0.95</v>
      </c>
      <c r="R30" s="230">
        <v>0.95</v>
      </c>
      <c r="S30" s="230">
        <v>0.95</v>
      </c>
      <c r="T30" s="231">
        <f>SUM(P31:S31)</f>
        <v>5257</v>
      </c>
      <c r="U30" s="232">
        <f>+AW30</f>
        <v>0.99753320683111946</v>
      </c>
      <c r="V30" s="839" t="s">
        <v>35</v>
      </c>
      <c r="W30" s="234">
        <f>+U30/O30-1</f>
        <v>5.0034954559073253E-2</v>
      </c>
      <c r="AA30" s="220">
        <f>+(182*10)+(1*5)</f>
        <v>1825</v>
      </c>
      <c r="AB30" s="220">
        <v>183</v>
      </c>
      <c r="AC30" s="220"/>
      <c r="AD30" s="220">
        <f>+AA30/AB30/10</f>
        <v>0.99726775956284153</v>
      </c>
      <c r="AE30" s="220"/>
      <c r="AF30" s="220">
        <f>+(155*10)+(4*8)</f>
        <v>1582</v>
      </c>
      <c r="AG30" s="220">
        <v>159</v>
      </c>
      <c r="AH30" s="220"/>
      <c r="AI30" s="220">
        <f>+AF30/AG30/10</f>
        <v>0.9949685534591195</v>
      </c>
      <c r="AJ30" s="220"/>
      <c r="AK30" s="220">
        <f>+(185*10)</f>
        <v>1850</v>
      </c>
      <c r="AL30" s="220">
        <v>185</v>
      </c>
      <c r="AM30" s="220"/>
      <c r="AN30" s="220">
        <f>+AK30/AL30/10</f>
        <v>1</v>
      </c>
      <c r="AO30" s="220"/>
      <c r="AP30" s="220"/>
      <c r="AQ30" s="220"/>
      <c r="AR30" s="220"/>
      <c r="AS30" s="220"/>
      <c r="AT30" s="220"/>
      <c r="AU30" s="220">
        <f>+AA30+AF30+AK30+AP30</f>
        <v>5257</v>
      </c>
      <c r="AV30" s="220">
        <f>+AB30+AG30+AL30+AQ30</f>
        <v>527</v>
      </c>
      <c r="AW30" s="220">
        <f>+AU30/AV30/10</f>
        <v>0.99753320683111946</v>
      </c>
    </row>
    <row r="31" spans="2:49" ht="35.1" customHeight="1" thickBot="1" x14ac:dyDescent="0.3">
      <c r="B31" s="815"/>
      <c r="C31" s="186"/>
      <c r="D31" s="186"/>
      <c r="E31" s="840"/>
      <c r="F31" s="841"/>
      <c r="G31" s="842"/>
      <c r="H31" s="843"/>
      <c r="I31" s="835"/>
      <c r="J31" s="835"/>
      <c r="K31" s="835"/>
      <c r="L31" s="835"/>
      <c r="M31" s="835"/>
      <c r="N31" s="800" t="s">
        <v>219</v>
      </c>
      <c r="O31" s="801"/>
      <c r="P31" s="214">
        <f>+AA30</f>
        <v>1825</v>
      </c>
      <c r="Q31" s="214">
        <f>+AF30</f>
        <v>1582</v>
      </c>
      <c r="R31" s="214">
        <f>+AK30</f>
        <v>1850</v>
      </c>
      <c r="S31" s="214"/>
      <c r="T31" s="802"/>
      <c r="U31" s="246"/>
      <c r="V31" s="844"/>
      <c r="W31" s="248"/>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row>
    <row r="32" spans="2:49" ht="35.1" customHeight="1" thickBot="1" x14ac:dyDescent="0.3">
      <c r="B32" s="816"/>
      <c r="C32" s="199"/>
      <c r="D32" s="199"/>
      <c r="E32" s="845"/>
      <c r="F32" s="846"/>
      <c r="G32" s="847"/>
      <c r="H32" s="848"/>
      <c r="I32" s="202"/>
      <c r="J32" s="202"/>
      <c r="K32" s="202"/>
      <c r="L32" s="202"/>
      <c r="M32" s="202"/>
      <c r="N32" s="800" t="s">
        <v>220</v>
      </c>
      <c r="O32" s="801"/>
      <c r="P32" s="250">
        <f>+AD30</f>
        <v>0.99726775956284153</v>
      </c>
      <c r="Q32" s="250">
        <f>+AI30</f>
        <v>0.9949685534591195</v>
      </c>
      <c r="R32" s="230">
        <f>+AN30</f>
        <v>1</v>
      </c>
      <c r="S32" s="230"/>
      <c r="T32" s="806"/>
      <c r="U32" s="252"/>
      <c r="V32" s="849"/>
      <c r="W32" s="254"/>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row>
    <row r="33" spans="2:58" ht="30" customHeight="1" thickBot="1" x14ac:dyDescent="0.3">
      <c r="B33" s="791" t="s">
        <v>233</v>
      </c>
      <c r="C33" s="209" t="s">
        <v>580</v>
      </c>
      <c r="D33" s="209" t="s">
        <v>581</v>
      </c>
      <c r="E33" s="227" t="s">
        <v>582</v>
      </c>
      <c r="F33" s="228"/>
      <c r="G33" s="176" t="s">
        <v>583</v>
      </c>
      <c r="H33" s="177"/>
      <c r="I33" s="175" t="s">
        <v>584</v>
      </c>
      <c r="J33" s="189" t="s">
        <v>8</v>
      </c>
      <c r="K33" s="189" t="s">
        <v>10</v>
      </c>
      <c r="L33" s="189" t="s">
        <v>12</v>
      </c>
      <c r="M33" s="189" t="s">
        <v>23</v>
      </c>
      <c r="N33" s="145">
        <v>2022</v>
      </c>
      <c r="O33" s="214">
        <v>2.5</v>
      </c>
      <c r="P33" s="214">
        <v>2.5</v>
      </c>
      <c r="Q33" s="214">
        <v>2.5</v>
      </c>
      <c r="R33" s="214">
        <v>2.5</v>
      </c>
      <c r="S33" s="214">
        <v>2.5</v>
      </c>
      <c r="T33" s="231">
        <f>SUM(P34:S34)</f>
        <v>2471</v>
      </c>
      <c r="U33" s="792">
        <f>+AW33</f>
        <v>3.0506172839506172</v>
      </c>
      <c r="V33" s="839" t="s">
        <v>35</v>
      </c>
      <c r="W33" s="234">
        <f t="shared" si="0"/>
        <v>0.22024691358024695</v>
      </c>
      <c r="AA33" s="220">
        <v>386</v>
      </c>
      <c r="AB33" s="220">
        <v>5</v>
      </c>
      <c r="AC33" s="220">
        <v>58</v>
      </c>
      <c r="AD33" s="220">
        <f>+AA33/AB33/AC33</f>
        <v>1.3310344827586207</v>
      </c>
      <c r="AE33" s="220"/>
      <c r="AF33" s="220">
        <v>1088</v>
      </c>
      <c r="AG33" s="220">
        <v>5</v>
      </c>
      <c r="AH33" s="220">
        <v>56</v>
      </c>
      <c r="AI33" s="220">
        <f>+AF33/AG33/AH33</f>
        <v>3.8857142857142857</v>
      </c>
      <c r="AK33" s="220">
        <v>997</v>
      </c>
      <c r="AL33" s="220">
        <v>5</v>
      </c>
      <c r="AM33" s="220">
        <v>48</v>
      </c>
      <c r="AN33" s="220">
        <f>+AK33/AL33/AM33</f>
        <v>4.1541666666666668</v>
      </c>
      <c r="AP33" s="220"/>
      <c r="AQ33" s="220"/>
      <c r="AR33" s="220"/>
      <c r="AS33" s="220"/>
      <c r="AU33" s="220">
        <f>+AA33+AF33+AK33+AP33</f>
        <v>2471</v>
      </c>
      <c r="AV33" s="220">
        <f>+AC33+AH33+AM33+AR33</f>
        <v>162</v>
      </c>
      <c r="AW33" s="220">
        <f>+AU33/5/AV33</f>
        <v>3.0506172839506172</v>
      </c>
      <c r="BA33" s="220"/>
      <c r="BB33" s="220"/>
      <c r="BC33" s="220"/>
      <c r="BD33" s="220"/>
      <c r="BE33" s="220"/>
      <c r="BF33" s="220"/>
    </row>
    <row r="34" spans="2:58" ht="30" customHeight="1" thickBot="1" x14ac:dyDescent="0.3">
      <c r="B34" s="802"/>
      <c r="C34" s="240"/>
      <c r="D34" s="240"/>
      <c r="E34" s="241"/>
      <c r="F34" s="242"/>
      <c r="G34" s="187"/>
      <c r="H34" s="188"/>
      <c r="I34" s="186"/>
      <c r="J34" s="835"/>
      <c r="K34" s="835"/>
      <c r="L34" s="835"/>
      <c r="M34" s="835"/>
      <c r="N34" s="800" t="s">
        <v>219</v>
      </c>
      <c r="O34" s="801"/>
      <c r="P34" s="214">
        <f>+AA33</f>
        <v>386</v>
      </c>
      <c r="Q34" s="214">
        <f>+AF33</f>
        <v>1088</v>
      </c>
      <c r="R34" s="214">
        <f>+AK33</f>
        <v>997</v>
      </c>
      <c r="S34" s="214"/>
      <c r="T34" s="802"/>
      <c r="U34" s="803"/>
      <c r="V34" s="844"/>
      <c r="W34" s="248"/>
      <c r="AA34" s="220"/>
      <c r="AB34" s="220"/>
      <c r="AC34" s="220"/>
      <c r="AD34" s="220"/>
      <c r="AE34" s="220"/>
      <c r="AF34" s="220"/>
      <c r="AG34" s="220"/>
      <c r="AH34" s="220"/>
      <c r="AI34" s="220"/>
      <c r="AK34" s="220"/>
      <c r="AL34" s="220"/>
      <c r="AM34" s="220"/>
      <c r="AN34" s="220"/>
      <c r="AV34" s="220"/>
      <c r="AW34" s="220"/>
      <c r="BA34" s="220"/>
      <c r="BB34" s="220"/>
      <c r="BC34" s="220"/>
      <c r="BD34" s="220"/>
      <c r="BE34" s="220"/>
      <c r="BF34" s="220"/>
    </row>
    <row r="35" spans="2:58" ht="30" customHeight="1" thickBot="1" x14ac:dyDescent="0.3">
      <c r="B35" s="806"/>
      <c r="C35" s="224"/>
      <c r="D35" s="224"/>
      <c r="E35" s="142"/>
      <c r="F35" s="144"/>
      <c r="G35" s="200"/>
      <c r="H35" s="201"/>
      <c r="I35" s="199"/>
      <c r="J35" s="202"/>
      <c r="K35" s="202"/>
      <c r="L35" s="202"/>
      <c r="M35" s="202"/>
      <c r="N35" s="800" t="s">
        <v>220</v>
      </c>
      <c r="O35" s="801"/>
      <c r="P35" s="805">
        <f>+AD33</f>
        <v>1.3310344827586207</v>
      </c>
      <c r="Q35" s="805">
        <f>+AI33</f>
        <v>3.8857142857142857</v>
      </c>
      <c r="R35" s="805">
        <f>+AN33</f>
        <v>4.1541666666666668</v>
      </c>
      <c r="S35" s="214"/>
      <c r="T35" s="806"/>
      <c r="U35" s="807"/>
      <c r="V35" s="849"/>
      <c r="W35" s="254"/>
      <c r="AA35" s="220"/>
      <c r="AB35" s="220"/>
      <c r="AC35" s="220"/>
      <c r="AD35" s="220"/>
      <c r="AE35" s="220"/>
      <c r="AF35" s="220"/>
      <c r="AG35" s="220"/>
      <c r="AH35" s="220"/>
      <c r="AI35" s="220"/>
      <c r="AK35" s="220"/>
      <c r="AL35" s="220"/>
      <c r="AM35" s="220"/>
      <c r="AN35" s="220"/>
      <c r="AV35" s="220"/>
      <c r="AW35" s="220"/>
      <c r="BA35" s="220"/>
      <c r="BB35" s="220"/>
      <c r="BC35" s="220"/>
      <c r="BD35" s="220"/>
      <c r="BE35" s="220"/>
      <c r="BF35" s="220"/>
    </row>
    <row r="36" spans="2:58" ht="30" customHeight="1" thickBot="1" x14ac:dyDescent="0.3">
      <c r="B36" s="791" t="s">
        <v>238</v>
      </c>
      <c r="C36" s="209" t="s">
        <v>585</v>
      </c>
      <c r="D36" s="209" t="s">
        <v>586</v>
      </c>
      <c r="E36" s="227" t="s">
        <v>587</v>
      </c>
      <c r="F36" s="228"/>
      <c r="G36" s="176" t="s">
        <v>588</v>
      </c>
      <c r="H36" s="177"/>
      <c r="I36" s="175" t="s">
        <v>589</v>
      </c>
      <c r="J36" s="189" t="s">
        <v>8</v>
      </c>
      <c r="K36" s="189" t="s">
        <v>10</v>
      </c>
      <c r="L36" s="189" t="s">
        <v>12</v>
      </c>
      <c r="M36" s="189" t="s">
        <v>23</v>
      </c>
      <c r="N36" s="145">
        <v>2022</v>
      </c>
      <c r="O36" s="214">
        <v>3</v>
      </c>
      <c r="P36" s="214">
        <v>3</v>
      </c>
      <c r="Q36" s="214">
        <v>3</v>
      </c>
      <c r="R36" s="214">
        <v>3</v>
      </c>
      <c r="S36" s="214">
        <v>3</v>
      </c>
      <c r="T36" s="231">
        <f>SUM(P37:S37)</f>
        <v>909</v>
      </c>
      <c r="U36" s="792">
        <f>+AW36</f>
        <v>2.6195965417867435</v>
      </c>
      <c r="V36" s="833" t="s">
        <v>36</v>
      </c>
      <c r="W36" s="234">
        <f t="shared" si="0"/>
        <v>-0.12680115273775217</v>
      </c>
      <c r="AA36" s="220">
        <v>284</v>
      </c>
      <c r="AB36" s="220">
        <v>103</v>
      </c>
      <c r="AC36" s="220"/>
      <c r="AD36" s="220">
        <f>+AA36/AB36</f>
        <v>2.7572815533980584</v>
      </c>
      <c r="AE36" s="220"/>
      <c r="AF36" s="220">
        <v>304</v>
      </c>
      <c r="AG36" s="220">
        <v>110</v>
      </c>
      <c r="AH36" s="220"/>
      <c r="AI36" s="220">
        <f>+AF36/AG36</f>
        <v>2.7636363636363637</v>
      </c>
      <c r="AJ36" s="220"/>
      <c r="AK36" s="220">
        <v>321</v>
      </c>
      <c r="AL36" s="220">
        <v>134</v>
      </c>
      <c r="AM36" s="220"/>
      <c r="AN36" s="220">
        <f>+AK36/AL36</f>
        <v>2.3955223880597014</v>
      </c>
      <c r="AO36" s="220"/>
      <c r="AP36" s="220"/>
      <c r="AQ36" s="220"/>
      <c r="AR36" s="220"/>
      <c r="AS36" s="220"/>
      <c r="AT36" s="220"/>
      <c r="AU36" s="220">
        <f>+AA36+AF36+AK36+AP36</f>
        <v>909</v>
      </c>
      <c r="AV36" s="220">
        <f>+AB36+AG36+AL36+AQ36</f>
        <v>347</v>
      </c>
      <c r="AW36" s="220">
        <f>+AU36/AV36</f>
        <v>2.6195965417867435</v>
      </c>
    </row>
    <row r="37" spans="2:58" ht="30" customHeight="1" thickBot="1" x14ac:dyDescent="0.3">
      <c r="B37" s="802"/>
      <c r="C37" s="240"/>
      <c r="D37" s="240"/>
      <c r="E37" s="241"/>
      <c r="F37" s="242"/>
      <c r="G37" s="187"/>
      <c r="H37" s="188"/>
      <c r="I37" s="186"/>
      <c r="J37" s="835"/>
      <c r="K37" s="835"/>
      <c r="L37" s="835"/>
      <c r="M37" s="835"/>
      <c r="N37" s="800" t="s">
        <v>219</v>
      </c>
      <c r="O37" s="801"/>
      <c r="P37" s="214">
        <v>284</v>
      </c>
      <c r="Q37" s="214">
        <f>+AF36</f>
        <v>304</v>
      </c>
      <c r="R37" s="214">
        <f>+AK36</f>
        <v>321</v>
      </c>
      <c r="S37" s="214"/>
      <c r="T37" s="802"/>
      <c r="U37" s="803"/>
      <c r="V37" s="836"/>
      <c r="W37" s="248"/>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row>
    <row r="38" spans="2:58" ht="30" customHeight="1" thickBot="1" x14ac:dyDescent="0.3">
      <c r="B38" s="806"/>
      <c r="C38" s="224"/>
      <c r="D38" s="224"/>
      <c r="E38" s="142"/>
      <c r="F38" s="144"/>
      <c r="G38" s="200"/>
      <c r="H38" s="201"/>
      <c r="I38" s="199"/>
      <c r="J38" s="202"/>
      <c r="K38" s="202"/>
      <c r="L38" s="202"/>
      <c r="M38" s="202"/>
      <c r="N38" s="800" t="s">
        <v>220</v>
      </c>
      <c r="O38" s="801"/>
      <c r="P38" s="805">
        <f>+AD36</f>
        <v>2.7572815533980584</v>
      </c>
      <c r="Q38" s="805">
        <f>+AI36</f>
        <v>2.7636363636363637</v>
      </c>
      <c r="R38" s="805">
        <f>+AN36</f>
        <v>2.3955223880597014</v>
      </c>
      <c r="S38" s="214"/>
      <c r="T38" s="806"/>
      <c r="U38" s="807"/>
      <c r="V38" s="838"/>
      <c r="W38" s="254"/>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row>
    <row r="39" spans="2:58" ht="30" customHeight="1" thickBot="1" x14ac:dyDescent="0.3">
      <c r="B39" s="791" t="s">
        <v>243</v>
      </c>
      <c r="C39" s="209" t="s">
        <v>590</v>
      </c>
      <c r="D39" s="209" t="s">
        <v>591</v>
      </c>
      <c r="E39" s="227" t="s">
        <v>592</v>
      </c>
      <c r="F39" s="228"/>
      <c r="G39" s="176" t="s">
        <v>593</v>
      </c>
      <c r="H39" s="177"/>
      <c r="I39" s="175" t="s">
        <v>594</v>
      </c>
      <c r="J39" s="189" t="s">
        <v>8</v>
      </c>
      <c r="K39" s="189" t="s">
        <v>10</v>
      </c>
      <c r="L39" s="189" t="s">
        <v>12</v>
      </c>
      <c r="M39" s="189" t="s">
        <v>23</v>
      </c>
      <c r="N39" s="145">
        <v>2022</v>
      </c>
      <c r="O39" s="214">
        <v>3</v>
      </c>
      <c r="P39" s="214">
        <v>3</v>
      </c>
      <c r="Q39" s="214">
        <v>3</v>
      </c>
      <c r="R39" s="214">
        <v>3</v>
      </c>
      <c r="S39" s="214">
        <v>3</v>
      </c>
      <c r="T39" s="231">
        <f>SUM(P40:S40)</f>
        <v>1077</v>
      </c>
      <c r="U39" s="792">
        <f>+AW39</f>
        <v>3.1037463976945245</v>
      </c>
      <c r="V39" s="839" t="s">
        <v>35</v>
      </c>
      <c r="W39" s="234">
        <f t="shared" si="0"/>
        <v>3.4582132564841439E-2</v>
      </c>
      <c r="AA39" s="220">
        <v>360</v>
      </c>
      <c r="AB39" s="220">
        <v>103</v>
      </c>
      <c r="AC39" s="220"/>
      <c r="AD39" s="220">
        <f>+AA39/AB39</f>
        <v>3.4951456310679609</v>
      </c>
      <c r="AE39" s="220"/>
      <c r="AF39" s="220">
        <v>351</v>
      </c>
      <c r="AG39" s="220">
        <v>110</v>
      </c>
      <c r="AH39" s="220"/>
      <c r="AI39" s="220">
        <f>+AF39/AG39</f>
        <v>3.1909090909090909</v>
      </c>
      <c r="AJ39" s="220"/>
      <c r="AK39" s="220">
        <v>366</v>
      </c>
      <c r="AL39" s="220">
        <v>134</v>
      </c>
      <c r="AM39" s="220"/>
      <c r="AN39" s="220">
        <f>+AK39/AL39</f>
        <v>2.7313432835820897</v>
      </c>
      <c r="AO39" s="220"/>
      <c r="AP39" s="220"/>
      <c r="AQ39" s="220"/>
      <c r="AR39" s="220"/>
      <c r="AS39" s="220"/>
      <c r="AT39" s="220"/>
      <c r="AU39" s="220">
        <f>+AA39+AF39+AK39+AP39</f>
        <v>1077</v>
      </c>
      <c r="AV39" s="220">
        <f>+AB39+AG39+AL39+AQ39</f>
        <v>347</v>
      </c>
      <c r="AW39" s="220">
        <f>+AU39/AV39</f>
        <v>3.1037463976945245</v>
      </c>
    </row>
    <row r="40" spans="2:58" ht="30" customHeight="1" thickBot="1" x14ac:dyDescent="0.3">
      <c r="B40" s="802"/>
      <c r="C40" s="240"/>
      <c r="D40" s="240"/>
      <c r="E40" s="241"/>
      <c r="F40" s="242"/>
      <c r="G40" s="187"/>
      <c r="H40" s="188"/>
      <c r="I40" s="186"/>
      <c r="J40" s="835"/>
      <c r="K40" s="835"/>
      <c r="L40" s="835"/>
      <c r="M40" s="835"/>
      <c r="N40" s="800" t="s">
        <v>219</v>
      </c>
      <c r="O40" s="801"/>
      <c r="P40" s="214">
        <v>360</v>
      </c>
      <c r="Q40" s="214">
        <f>+AF39</f>
        <v>351</v>
      </c>
      <c r="R40" s="214">
        <f>+AK39</f>
        <v>366</v>
      </c>
      <c r="S40" s="214"/>
      <c r="T40" s="802"/>
      <c r="U40" s="803"/>
      <c r="V40" s="844"/>
      <c r="W40" s="248"/>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row>
    <row r="41" spans="2:58" ht="30" customHeight="1" thickBot="1" x14ac:dyDescent="0.3">
      <c r="B41" s="806"/>
      <c r="C41" s="224"/>
      <c r="D41" s="224"/>
      <c r="E41" s="142"/>
      <c r="F41" s="144"/>
      <c r="G41" s="200"/>
      <c r="H41" s="201"/>
      <c r="I41" s="199"/>
      <c r="J41" s="202"/>
      <c r="K41" s="202"/>
      <c r="L41" s="202"/>
      <c r="M41" s="202"/>
      <c r="N41" s="800" t="s">
        <v>220</v>
      </c>
      <c r="O41" s="801"/>
      <c r="P41" s="214">
        <v>3.5</v>
      </c>
      <c r="Q41" s="805">
        <f>+AI39</f>
        <v>3.1909090909090909</v>
      </c>
      <c r="R41" s="805">
        <f>+AN39</f>
        <v>2.7313432835820897</v>
      </c>
      <c r="S41" s="214"/>
      <c r="T41" s="806"/>
      <c r="U41" s="807"/>
      <c r="V41" s="849"/>
      <c r="W41" s="254"/>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row>
    <row r="42" spans="2:58" ht="30" customHeight="1" thickBot="1" x14ac:dyDescent="0.3">
      <c r="B42" s="791" t="s">
        <v>251</v>
      </c>
      <c r="C42" s="209" t="s">
        <v>595</v>
      </c>
      <c r="D42" s="209" t="s">
        <v>596</v>
      </c>
      <c r="E42" s="227" t="s">
        <v>597</v>
      </c>
      <c r="F42" s="228"/>
      <c r="G42" s="176" t="s">
        <v>598</v>
      </c>
      <c r="H42" s="177"/>
      <c r="I42" s="175" t="s">
        <v>25</v>
      </c>
      <c r="J42" s="189" t="s">
        <v>8</v>
      </c>
      <c r="K42" s="189" t="s">
        <v>10</v>
      </c>
      <c r="L42" s="189" t="s">
        <v>12</v>
      </c>
      <c r="M42" s="189" t="s">
        <v>23</v>
      </c>
      <c r="N42" s="145">
        <v>2022</v>
      </c>
      <c r="O42" s="230">
        <v>0.7</v>
      </c>
      <c r="P42" s="230">
        <v>0.7</v>
      </c>
      <c r="Q42" s="230">
        <v>0.7</v>
      </c>
      <c r="R42" s="230">
        <v>0.7</v>
      </c>
      <c r="S42" s="230">
        <v>0.7</v>
      </c>
      <c r="T42" s="231">
        <f>SUM(P43:S43)</f>
        <v>94</v>
      </c>
      <c r="U42" s="232">
        <f>+AW42</f>
        <v>0.71755725190839692</v>
      </c>
      <c r="V42" s="839" t="s">
        <v>35</v>
      </c>
      <c r="W42" s="234">
        <f>+U42/O42-1</f>
        <v>2.5081788440567188E-2</v>
      </c>
      <c r="AA42" s="220">
        <v>43</v>
      </c>
      <c r="AB42" s="220">
        <v>48</v>
      </c>
      <c r="AC42" s="220"/>
      <c r="AD42" s="220">
        <f>+AA42/AB42</f>
        <v>0.89583333333333337</v>
      </c>
      <c r="AE42" s="220"/>
      <c r="AF42" s="220">
        <v>24</v>
      </c>
      <c r="AG42" s="220">
        <v>41</v>
      </c>
      <c r="AH42" s="220"/>
      <c r="AI42" s="220">
        <f>+AF42/AG42</f>
        <v>0.58536585365853655</v>
      </c>
      <c r="AJ42" s="220"/>
      <c r="AK42" s="220">
        <v>27</v>
      </c>
      <c r="AL42" s="220">
        <v>42</v>
      </c>
      <c r="AM42" s="220"/>
      <c r="AN42" s="220">
        <f>+AK42/AL42</f>
        <v>0.6428571428571429</v>
      </c>
      <c r="AO42" s="220"/>
      <c r="AP42" s="220"/>
      <c r="AQ42" s="220"/>
      <c r="AR42" s="220"/>
      <c r="AS42" s="220"/>
      <c r="AT42" s="220"/>
      <c r="AU42" s="220">
        <f>+AA42+AF42+AK42+AP42</f>
        <v>94</v>
      </c>
      <c r="AV42" s="220">
        <f>+AB42+AG42+AL42+AQ42</f>
        <v>131</v>
      </c>
      <c r="AW42" s="220">
        <f>+AU42/AV42</f>
        <v>0.71755725190839692</v>
      </c>
    </row>
    <row r="43" spans="2:58" ht="30" customHeight="1" thickBot="1" x14ac:dyDescent="0.3">
      <c r="B43" s="802"/>
      <c r="C43" s="240"/>
      <c r="D43" s="240"/>
      <c r="E43" s="241"/>
      <c r="F43" s="242"/>
      <c r="G43" s="187"/>
      <c r="H43" s="188"/>
      <c r="I43" s="186"/>
      <c r="J43" s="835"/>
      <c r="K43" s="835"/>
      <c r="L43" s="835"/>
      <c r="M43" s="835"/>
      <c r="N43" s="800" t="s">
        <v>219</v>
      </c>
      <c r="O43" s="801"/>
      <c r="P43" s="214">
        <v>43</v>
      </c>
      <c r="Q43" s="214">
        <v>24</v>
      </c>
      <c r="R43" s="214">
        <f>+AK42</f>
        <v>27</v>
      </c>
      <c r="S43" s="214"/>
      <c r="T43" s="802"/>
      <c r="U43" s="246"/>
      <c r="V43" s="844"/>
      <c r="W43" s="248"/>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row>
    <row r="44" spans="2:58" ht="30" customHeight="1" thickBot="1" x14ac:dyDescent="0.3">
      <c r="B44" s="806"/>
      <c r="C44" s="224"/>
      <c r="D44" s="224"/>
      <c r="E44" s="142"/>
      <c r="F44" s="144"/>
      <c r="G44" s="200"/>
      <c r="H44" s="201"/>
      <c r="I44" s="199"/>
      <c r="J44" s="202"/>
      <c r="K44" s="202"/>
      <c r="L44" s="202"/>
      <c r="M44" s="202"/>
      <c r="N44" s="851" t="s">
        <v>220</v>
      </c>
      <c r="O44" s="852"/>
      <c r="P44" s="250">
        <f>+AD42</f>
        <v>0.89583333333333337</v>
      </c>
      <c r="Q44" s="250">
        <f>+AI42</f>
        <v>0.58536585365853655</v>
      </c>
      <c r="R44" s="250">
        <f>+AN42</f>
        <v>0.6428571428571429</v>
      </c>
      <c r="S44" s="250"/>
      <c r="T44" s="806"/>
      <c r="U44" s="252"/>
      <c r="V44" s="849"/>
      <c r="W44" s="254"/>
    </row>
    <row r="46" spans="2:58" x14ac:dyDescent="0.25">
      <c r="Z46" s="30" t="s">
        <v>599</v>
      </c>
      <c r="AA46" s="30"/>
      <c r="AB46" s="30"/>
      <c r="AC46" s="30"/>
      <c r="AD46" s="30"/>
      <c r="AE46" s="30" t="s">
        <v>599</v>
      </c>
      <c r="AF46" s="30"/>
      <c r="AG46" s="30"/>
      <c r="AH46" s="30"/>
      <c r="AI46" s="30"/>
      <c r="AJ46" s="30" t="s">
        <v>599</v>
      </c>
      <c r="AK46" s="30"/>
      <c r="AL46" s="30"/>
      <c r="AM46" s="30"/>
      <c r="AN46" s="30"/>
      <c r="AO46" s="30" t="s">
        <v>599</v>
      </c>
      <c r="AP46" s="30"/>
      <c r="AQ46" s="30"/>
      <c r="AR46" s="30"/>
      <c r="AS46" s="30"/>
    </row>
    <row r="47" spans="2:58" ht="25.5" x14ac:dyDescent="0.25">
      <c r="Z47" s="853" t="s">
        <v>600</v>
      </c>
      <c r="AA47" s="853" t="s">
        <v>601</v>
      </c>
      <c r="AB47" s="854" t="s">
        <v>602</v>
      </c>
      <c r="AC47" s="854" t="s">
        <v>603</v>
      </c>
      <c r="AD47" s="853" t="s">
        <v>604</v>
      </c>
      <c r="AE47" s="853" t="s">
        <v>600</v>
      </c>
      <c r="AF47" s="853" t="s">
        <v>601</v>
      </c>
      <c r="AG47" s="854" t="s">
        <v>602</v>
      </c>
      <c r="AH47" s="854" t="s">
        <v>603</v>
      </c>
      <c r="AI47" s="853" t="s">
        <v>604</v>
      </c>
      <c r="AJ47" s="853" t="s">
        <v>600</v>
      </c>
      <c r="AK47" s="853" t="s">
        <v>601</v>
      </c>
      <c r="AL47" s="854" t="s">
        <v>602</v>
      </c>
      <c r="AM47" s="854" t="s">
        <v>603</v>
      </c>
      <c r="AN47" s="853" t="s">
        <v>604</v>
      </c>
      <c r="AO47" s="853" t="s">
        <v>600</v>
      </c>
      <c r="AP47" s="853" t="s">
        <v>601</v>
      </c>
      <c r="AQ47" s="854" t="s">
        <v>602</v>
      </c>
      <c r="AR47" s="854" t="s">
        <v>603</v>
      </c>
      <c r="AS47" s="853" t="s">
        <v>604</v>
      </c>
    </row>
    <row r="48" spans="2:58" x14ac:dyDescent="0.25">
      <c r="Z48">
        <v>1</v>
      </c>
      <c r="AA48">
        <v>15</v>
      </c>
      <c r="AB48">
        <v>57</v>
      </c>
      <c r="AC48">
        <f>(+Z48+AA48)/2</f>
        <v>8</v>
      </c>
      <c r="AD48">
        <f>+AB48*AC48</f>
        <v>456</v>
      </c>
      <c r="AE48">
        <v>1</v>
      </c>
      <c r="AF48">
        <v>15</v>
      </c>
      <c r="AG48">
        <v>55</v>
      </c>
      <c r="AH48">
        <f>(+AE48+AF48)/2</f>
        <v>8</v>
      </c>
      <c r="AI48">
        <f>+AG48*AH48</f>
        <v>440</v>
      </c>
      <c r="AJ48">
        <v>1</v>
      </c>
      <c r="AK48">
        <v>15</v>
      </c>
      <c r="AL48">
        <v>43</v>
      </c>
      <c r="AM48">
        <f>(+AJ48+AK48)/2</f>
        <v>8</v>
      </c>
      <c r="AN48">
        <f>+AL48*AM48</f>
        <v>344</v>
      </c>
      <c r="AO48">
        <v>1</v>
      </c>
      <c r="AP48">
        <v>15</v>
      </c>
      <c r="AQ48">
        <v>33</v>
      </c>
      <c r="AR48">
        <f>(+AO48+AP48)/2</f>
        <v>8</v>
      </c>
      <c r="AS48">
        <f>+AQ48*AR48</f>
        <v>264</v>
      </c>
    </row>
    <row r="49" spans="26:45" x14ac:dyDescent="0.25">
      <c r="Z49">
        <v>16</v>
      </c>
      <c r="AA49">
        <v>30</v>
      </c>
      <c r="AB49">
        <v>18</v>
      </c>
      <c r="AC49">
        <f t="shared" ref="AC49:AC54" si="1">(+Z49+AA49)/2</f>
        <v>23</v>
      </c>
      <c r="AD49">
        <f t="shared" ref="AD49:AD54" si="2">+AB49*AC49</f>
        <v>414</v>
      </c>
      <c r="AE49">
        <v>16</v>
      </c>
      <c r="AF49">
        <v>30</v>
      </c>
      <c r="AG49">
        <v>43</v>
      </c>
      <c r="AH49">
        <f t="shared" ref="AH49:AH54" si="3">(+AE49+AF49)/2</f>
        <v>23</v>
      </c>
      <c r="AI49">
        <f t="shared" ref="AI49:AI54" si="4">+AG49*AH49</f>
        <v>989</v>
      </c>
      <c r="AJ49">
        <v>16</v>
      </c>
      <c r="AK49">
        <v>30</v>
      </c>
      <c r="AL49">
        <v>38</v>
      </c>
      <c r="AM49">
        <f t="shared" ref="AM49:AM54" si="5">(+AJ49+AK49)/2</f>
        <v>23</v>
      </c>
      <c r="AN49">
        <f t="shared" ref="AN49:AN54" si="6">+AL49*AM49</f>
        <v>874</v>
      </c>
      <c r="AO49">
        <v>16</v>
      </c>
      <c r="AP49">
        <v>30</v>
      </c>
      <c r="AQ49">
        <v>39</v>
      </c>
      <c r="AR49">
        <f t="shared" ref="AR49:AR54" si="7">(+AO49+AP49)/2</f>
        <v>23</v>
      </c>
      <c r="AS49">
        <f t="shared" ref="AS49:AS54" si="8">+AQ49*AR49</f>
        <v>897</v>
      </c>
    </row>
    <row r="50" spans="26:45" x14ac:dyDescent="0.25">
      <c r="Z50">
        <v>31</v>
      </c>
      <c r="AA50">
        <v>45</v>
      </c>
      <c r="AB50">
        <v>4</v>
      </c>
      <c r="AC50">
        <f t="shared" si="1"/>
        <v>38</v>
      </c>
      <c r="AD50">
        <f t="shared" si="2"/>
        <v>152</v>
      </c>
      <c r="AE50">
        <v>31</v>
      </c>
      <c r="AF50">
        <v>45</v>
      </c>
      <c r="AG50">
        <v>10</v>
      </c>
      <c r="AH50">
        <f t="shared" si="3"/>
        <v>38</v>
      </c>
      <c r="AI50">
        <f t="shared" si="4"/>
        <v>380</v>
      </c>
      <c r="AJ50">
        <v>31</v>
      </c>
      <c r="AK50">
        <v>45</v>
      </c>
      <c r="AL50">
        <v>13</v>
      </c>
      <c r="AM50">
        <f t="shared" si="5"/>
        <v>38</v>
      </c>
      <c r="AN50">
        <f t="shared" si="6"/>
        <v>494</v>
      </c>
      <c r="AO50">
        <v>31</v>
      </c>
      <c r="AP50">
        <v>45</v>
      </c>
      <c r="AQ50">
        <v>9</v>
      </c>
      <c r="AR50">
        <f t="shared" si="7"/>
        <v>38</v>
      </c>
      <c r="AS50">
        <f t="shared" si="8"/>
        <v>342</v>
      </c>
    </row>
    <row r="51" spans="26:45" x14ac:dyDescent="0.25">
      <c r="Z51">
        <v>46</v>
      </c>
      <c r="AA51">
        <v>60</v>
      </c>
      <c r="AB51">
        <v>3</v>
      </c>
      <c r="AC51">
        <f t="shared" si="1"/>
        <v>53</v>
      </c>
      <c r="AD51">
        <f t="shared" si="2"/>
        <v>159</v>
      </c>
      <c r="AE51">
        <v>46</v>
      </c>
      <c r="AF51">
        <v>60</v>
      </c>
      <c r="AG51">
        <v>1</v>
      </c>
      <c r="AH51">
        <f t="shared" si="3"/>
        <v>53</v>
      </c>
      <c r="AI51">
        <f t="shared" si="4"/>
        <v>53</v>
      </c>
      <c r="AJ51">
        <v>46</v>
      </c>
      <c r="AK51">
        <v>60</v>
      </c>
      <c r="AL51">
        <v>4</v>
      </c>
      <c r="AM51">
        <f t="shared" si="5"/>
        <v>53</v>
      </c>
      <c r="AN51">
        <f t="shared" si="6"/>
        <v>212</v>
      </c>
      <c r="AO51">
        <v>46</v>
      </c>
      <c r="AP51">
        <v>60</v>
      </c>
      <c r="AQ51">
        <v>2</v>
      </c>
      <c r="AR51">
        <f t="shared" si="7"/>
        <v>53</v>
      </c>
      <c r="AS51">
        <f t="shared" si="8"/>
        <v>106</v>
      </c>
    </row>
    <row r="52" spans="26:45" x14ac:dyDescent="0.25">
      <c r="Z52">
        <v>61</v>
      </c>
      <c r="AA52">
        <v>75</v>
      </c>
      <c r="AB52">
        <v>0</v>
      </c>
      <c r="AC52">
        <f t="shared" si="1"/>
        <v>68</v>
      </c>
      <c r="AD52">
        <f t="shared" si="2"/>
        <v>0</v>
      </c>
      <c r="AE52">
        <v>61</v>
      </c>
      <c r="AF52">
        <v>75</v>
      </c>
      <c r="AG52">
        <v>0</v>
      </c>
      <c r="AH52">
        <f t="shared" si="3"/>
        <v>68</v>
      </c>
      <c r="AI52">
        <f t="shared" si="4"/>
        <v>0</v>
      </c>
      <c r="AJ52">
        <v>61</v>
      </c>
      <c r="AK52">
        <v>75</v>
      </c>
      <c r="AL52">
        <v>2</v>
      </c>
      <c r="AM52">
        <f t="shared" si="5"/>
        <v>68</v>
      </c>
      <c r="AN52">
        <f t="shared" si="6"/>
        <v>136</v>
      </c>
      <c r="AO52">
        <v>61</v>
      </c>
      <c r="AP52">
        <v>75</v>
      </c>
      <c r="AQ52">
        <v>3</v>
      </c>
      <c r="AR52">
        <f t="shared" si="7"/>
        <v>68</v>
      </c>
      <c r="AS52">
        <f t="shared" si="8"/>
        <v>204</v>
      </c>
    </row>
    <row r="53" spans="26:45" x14ac:dyDescent="0.25">
      <c r="Z53">
        <v>76</v>
      </c>
      <c r="AA53">
        <v>90</v>
      </c>
      <c r="AB53">
        <v>0</v>
      </c>
      <c r="AC53">
        <f t="shared" si="1"/>
        <v>83</v>
      </c>
      <c r="AD53">
        <f t="shared" si="2"/>
        <v>0</v>
      </c>
      <c r="AE53">
        <v>76</v>
      </c>
      <c r="AF53">
        <v>90</v>
      </c>
      <c r="AG53">
        <v>0</v>
      </c>
      <c r="AH53">
        <f t="shared" si="3"/>
        <v>83</v>
      </c>
      <c r="AI53">
        <f t="shared" si="4"/>
        <v>0</v>
      </c>
      <c r="AJ53">
        <v>76</v>
      </c>
      <c r="AK53">
        <v>90</v>
      </c>
      <c r="AL53">
        <v>0</v>
      </c>
      <c r="AM53">
        <f t="shared" si="5"/>
        <v>83</v>
      </c>
      <c r="AN53">
        <f t="shared" si="6"/>
        <v>0</v>
      </c>
      <c r="AO53">
        <v>76</v>
      </c>
      <c r="AP53">
        <v>90</v>
      </c>
      <c r="AQ53">
        <v>2</v>
      </c>
      <c r="AR53">
        <f t="shared" si="7"/>
        <v>83</v>
      </c>
      <c r="AS53">
        <f t="shared" si="8"/>
        <v>166</v>
      </c>
    </row>
    <row r="54" spans="26:45" x14ac:dyDescent="0.25">
      <c r="Z54">
        <v>91</v>
      </c>
      <c r="AA54">
        <v>105</v>
      </c>
      <c r="AB54">
        <v>0</v>
      </c>
      <c r="AC54">
        <f t="shared" si="1"/>
        <v>98</v>
      </c>
      <c r="AD54">
        <f t="shared" si="2"/>
        <v>0</v>
      </c>
      <c r="AE54">
        <v>91</v>
      </c>
      <c r="AF54">
        <v>105</v>
      </c>
      <c r="AG54">
        <v>0</v>
      </c>
      <c r="AH54">
        <f t="shared" si="3"/>
        <v>98</v>
      </c>
      <c r="AI54">
        <f t="shared" si="4"/>
        <v>0</v>
      </c>
      <c r="AJ54">
        <v>91</v>
      </c>
      <c r="AK54">
        <v>105</v>
      </c>
      <c r="AL54">
        <v>0</v>
      </c>
      <c r="AM54">
        <f t="shared" si="5"/>
        <v>98</v>
      </c>
      <c r="AN54">
        <f t="shared" si="6"/>
        <v>0</v>
      </c>
      <c r="AO54">
        <v>91</v>
      </c>
      <c r="AP54">
        <v>105</v>
      </c>
      <c r="AQ54">
        <v>0</v>
      </c>
      <c r="AR54">
        <f t="shared" si="7"/>
        <v>98</v>
      </c>
      <c r="AS54">
        <f t="shared" si="8"/>
        <v>0</v>
      </c>
    </row>
    <row r="55" spans="26:45" x14ac:dyDescent="0.25">
      <c r="AB55">
        <f>SUM(AB48:AB54)</f>
        <v>82</v>
      </c>
      <c r="AD55">
        <f>SUM(AD48:AD54)</f>
        <v>1181</v>
      </c>
      <c r="AG55">
        <f>SUM(AG48:AG54)</f>
        <v>109</v>
      </c>
      <c r="AI55">
        <f>SUM(AI48:AI54)</f>
        <v>1862</v>
      </c>
      <c r="AL55">
        <f>SUM(AL48:AL54)</f>
        <v>100</v>
      </c>
      <c r="AN55">
        <f>SUM(AN48:AN54)</f>
        <v>2060</v>
      </c>
      <c r="AQ55">
        <f>SUM(AQ48:AQ54)</f>
        <v>88</v>
      </c>
      <c r="AS55">
        <f>SUM(AS48:AS54)</f>
        <v>1979</v>
      </c>
    </row>
    <row r="57" spans="26:45" x14ac:dyDescent="0.25">
      <c r="AB57" s="855" t="s">
        <v>605</v>
      </c>
      <c r="AC57" s="856">
        <f>+AD55</f>
        <v>1181</v>
      </c>
      <c r="AD57">
        <f>+AC57/AC58</f>
        <v>14.402439024390244</v>
      </c>
      <c r="AG57" s="855" t="s">
        <v>605</v>
      </c>
      <c r="AH57" s="856">
        <f>+AI55</f>
        <v>1862</v>
      </c>
      <c r="AI57">
        <f>+AH57/AH58</f>
        <v>17.082568807339449</v>
      </c>
      <c r="AL57" s="855" t="s">
        <v>605</v>
      </c>
      <c r="AM57" s="856">
        <f>+AN55</f>
        <v>2060</v>
      </c>
      <c r="AN57">
        <f>+AM57/AM58</f>
        <v>20.6</v>
      </c>
      <c r="AQ57" s="855" t="s">
        <v>605</v>
      </c>
      <c r="AR57" s="856">
        <f>+AS55</f>
        <v>1979</v>
      </c>
      <c r="AS57">
        <f>+AR57/AR58</f>
        <v>22.488636363636363</v>
      </c>
    </row>
    <row r="58" spans="26:45" x14ac:dyDescent="0.25">
      <c r="AC58">
        <f>+AB55</f>
        <v>82</v>
      </c>
      <c r="AH58">
        <f>+AG55</f>
        <v>109</v>
      </c>
      <c r="AM58">
        <f>+AL55</f>
        <v>100</v>
      </c>
      <c r="AR58">
        <f>+AQ55</f>
        <v>88</v>
      </c>
    </row>
    <row r="60" spans="26:45" x14ac:dyDescent="0.25">
      <c r="AE60" t="s">
        <v>606</v>
      </c>
    </row>
    <row r="61" spans="26:45" x14ac:dyDescent="0.25">
      <c r="AE61" t="s">
        <v>607</v>
      </c>
    </row>
    <row r="63" spans="26:45" x14ac:dyDescent="0.25">
      <c r="Z63" t="s">
        <v>608</v>
      </c>
      <c r="AA63">
        <v>17</v>
      </c>
      <c r="AE63" t="s">
        <v>609</v>
      </c>
      <c r="AF63">
        <v>20</v>
      </c>
      <c r="AG63" t="s">
        <v>610</v>
      </c>
      <c r="AH63">
        <v>15</v>
      </c>
      <c r="AJ63" t="s">
        <v>611</v>
      </c>
      <c r="AK63">
        <v>21</v>
      </c>
      <c r="AL63" t="s">
        <v>612</v>
      </c>
      <c r="AM63">
        <f>+AK63-11</f>
        <v>10</v>
      </c>
      <c r="AO63" t="s">
        <v>613</v>
      </c>
      <c r="AP63">
        <v>22</v>
      </c>
      <c r="AQ63">
        <v>12</v>
      </c>
      <c r="AR63">
        <f>+AP63-1</f>
        <v>21</v>
      </c>
    </row>
    <row r="64" spans="26:45" x14ac:dyDescent="0.25">
      <c r="Z64" t="s">
        <v>614</v>
      </c>
      <c r="AA64">
        <v>19</v>
      </c>
      <c r="AE64" t="s">
        <v>615</v>
      </c>
      <c r="AF64">
        <v>23</v>
      </c>
      <c r="AG64" t="s">
        <v>616</v>
      </c>
      <c r="AH64">
        <f>+AF64-3</f>
        <v>20</v>
      </c>
      <c r="AJ64" t="s">
        <v>617</v>
      </c>
      <c r="AK64">
        <v>23</v>
      </c>
      <c r="AL64" s="857" t="s">
        <v>618</v>
      </c>
      <c r="AM64">
        <f>+AK64-4</f>
        <v>19</v>
      </c>
      <c r="AO64" t="s">
        <v>619</v>
      </c>
      <c r="AP64">
        <v>22</v>
      </c>
      <c r="AQ64" t="s">
        <v>620</v>
      </c>
      <c r="AR64">
        <f>+AP64-4</f>
        <v>18</v>
      </c>
    </row>
    <row r="65" spans="26:44" x14ac:dyDescent="0.25">
      <c r="Z65" t="s">
        <v>621</v>
      </c>
      <c r="AA65">
        <v>22</v>
      </c>
      <c r="AE65" t="s">
        <v>622</v>
      </c>
      <c r="AF65">
        <v>22</v>
      </c>
      <c r="AG65">
        <v>19</v>
      </c>
      <c r="AH65">
        <v>21</v>
      </c>
      <c r="AJ65" t="s">
        <v>623</v>
      </c>
      <c r="AK65">
        <v>21</v>
      </c>
      <c r="AL65" t="s">
        <v>624</v>
      </c>
      <c r="AM65">
        <f>+AK65-2</f>
        <v>19</v>
      </c>
      <c r="AO65" t="s">
        <v>625</v>
      </c>
      <c r="AP65">
        <v>11</v>
      </c>
      <c r="AQ65">
        <v>25</v>
      </c>
      <c r="AR65">
        <f>+AP65</f>
        <v>11</v>
      </c>
    </row>
    <row r="66" spans="26:44" ht="15.75" thickBot="1" x14ac:dyDescent="0.3">
      <c r="AA66" s="858">
        <f>SUM(AA63:AA65)</f>
        <v>58</v>
      </c>
      <c r="AH66" s="858">
        <f>SUM(AH63:AH65)</f>
        <v>56</v>
      </c>
      <c r="AM66" s="858">
        <f>SUM(AM63:AM65)</f>
        <v>48</v>
      </c>
      <c r="AR66" s="858">
        <f>SUM(AR63:AR65)</f>
        <v>50</v>
      </c>
    </row>
    <row r="67" spans="26:44" ht="15.75" thickTop="1" x14ac:dyDescent="0.25"/>
    <row r="68" spans="26:44" x14ac:dyDescent="0.25">
      <c r="AE68" t="s">
        <v>626</v>
      </c>
    </row>
    <row r="69" spans="26:44" x14ac:dyDescent="0.25">
      <c r="AE69" t="s">
        <v>607</v>
      </c>
      <c r="AG69">
        <v>10</v>
      </c>
    </row>
    <row r="70" spans="26:44" x14ac:dyDescent="0.25">
      <c r="AE70" t="s">
        <v>627</v>
      </c>
      <c r="AG70">
        <v>8</v>
      </c>
    </row>
    <row r="71" spans="26:44" x14ac:dyDescent="0.25">
      <c r="AE71" t="s">
        <v>628</v>
      </c>
      <c r="AG71">
        <v>5</v>
      </c>
    </row>
  </sheetData>
  <mergeCells count="190">
    <mergeCell ref="V42:V44"/>
    <mergeCell ref="W42:W44"/>
    <mergeCell ref="N43:O43"/>
    <mergeCell ref="N44:O44"/>
    <mergeCell ref="J42:J44"/>
    <mergeCell ref="K42:K44"/>
    <mergeCell ref="L42:L44"/>
    <mergeCell ref="M42:M44"/>
    <mergeCell ref="T42:T44"/>
    <mergeCell ref="U42:U44"/>
    <mergeCell ref="V39:V41"/>
    <mergeCell ref="W39:W41"/>
    <mergeCell ref="N40:O40"/>
    <mergeCell ref="N41:O41"/>
    <mergeCell ref="B42:B44"/>
    <mergeCell ref="C42:C44"/>
    <mergeCell ref="D42:D44"/>
    <mergeCell ref="E42:F44"/>
    <mergeCell ref="G42:H44"/>
    <mergeCell ref="I42:I44"/>
    <mergeCell ref="J39:J41"/>
    <mergeCell ref="K39:K41"/>
    <mergeCell ref="L39:L41"/>
    <mergeCell ref="M39:M41"/>
    <mergeCell ref="T39:T41"/>
    <mergeCell ref="U39:U41"/>
    <mergeCell ref="V36:V38"/>
    <mergeCell ref="W36:W38"/>
    <mergeCell ref="N37:O37"/>
    <mergeCell ref="N38:O38"/>
    <mergeCell ref="B39:B41"/>
    <mergeCell ref="C39:C41"/>
    <mergeCell ref="D39:D41"/>
    <mergeCell ref="E39:F41"/>
    <mergeCell ref="G39:H41"/>
    <mergeCell ref="I39:I41"/>
    <mergeCell ref="J36:J38"/>
    <mergeCell ref="K36:K38"/>
    <mergeCell ref="L36:L38"/>
    <mergeCell ref="M36:M38"/>
    <mergeCell ref="T36:T38"/>
    <mergeCell ref="U36:U38"/>
    <mergeCell ref="V33:V35"/>
    <mergeCell ref="W33:W35"/>
    <mergeCell ref="N34:O34"/>
    <mergeCell ref="N35:O35"/>
    <mergeCell ref="B36:B38"/>
    <mergeCell ref="C36:C38"/>
    <mergeCell ref="D36:D38"/>
    <mergeCell ref="E36:F38"/>
    <mergeCell ref="G36:H38"/>
    <mergeCell ref="I36:I38"/>
    <mergeCell ref="J33:J35"/>
    <mergeCell ref="K33:K35"/>
    <mergeCell ref="L33:L35"/>
    <mergeCell ref="M33:M35"/>
    <mergeCell ref="T33:T35"/>
    <mergeCell ref="U33:U35"/>
    <mergeCell ref="B33:B35"/>
    <mergeCell ref="C33:C35"/>
    <mergeCell ref="D33:D35"/>
    <mergeCell ref="E33:F35"/>
    <mergeCell ref="G33:H35"/>
    <mergeCell ref="I33:I35"/>
    <mergeCell ref="L30:L32"/>
    <mergeCell ref="M30:M32"/>
    <mergeCell ref="T30:T32"/>
    <mergeCell ref="U30:U32"/>
    <mergeCell ref="V30:V32"/>
    <mergeCell ref="W30:W32"/>
    <mergeCell ref="N31:O31"/>
    <mergeCell ref="N32:O32"/>
    <mergeCell ref="D30:D32"/>
    <mergeCell ref="E30:F32"/>
    <mergeCell ref="G30:H32"/>
    <mergeCell ref="I30:I32"/>
    <mergeCell ref="J30:J32"/>
    <mergeCell ref="K30:K32"/>
    <mergeCell ref="L27:L29"/>
    <mergeCell ref="M27:M29"/>
    <mergeCell ref="T27:T29"/>
    <mergeCell ref="U27:U29"/>
    <mergeCell ref="V27:V29"/>
    <mergeCell ref="W27:W29"/>
    <mergeCell ref="N28:O28"/>
    <mergeCell ref="N29:O29"/>
    <mergeCell ref="V24:V26"/>
    <mergeCell ref="W24:W26"/>
    <mergeCell ref="N25:O25"/>
    <mergeCell ref="N26:O26"/>
    <mergeCell ref="D27:D29"/>
    <mergeCell ref="E27:F29"/>
    <mergeCell ref="G27:H29"/>
    <mergeCell ref="I27:I29"/>
    <mergeCell ref="J27:J29"/>
    <mergeCell ref="K27:K29"/>
    <mergeCell ref="J24:J26"/>
    <mergeCell ref="K24:K26"/>
    <mergeCell ref="L24:L26"/>
    <mergeCell ref="M24:M26"/>
    <mergeCell ref="T24:T26"/>
    <mergeCell ref="U24:U26"/>
    <mergeCell ref="V21:V23"/>
    <mergeCell ref="W21:W23"/>
    <mergeCell ref="N22:O22"/>
    <mergeCell ref="N23:O23"/>
    <mergeCell ref="B24:B32"/>
    <mergeCell ref="C24:C32"/>
    <mergeCell ref="D24:D26"/>
    <mergeCell ref="E24:F26"/>
    <mergeCell ref="G24:H26"/>
    <mergeCell ref="I24:I26"/>
    <mergeCell ref="J21:J23"/>
    <mergeCell ref="K21:K23"/>
    <mergeCell ref="L21:L23"/>
    <mergeCell ref="M21:M23"/>
    <mergeCell ref="T21:T23"/>
    <mergeCell ref="U21:U23"/>
    <mergeCell ref="B21:B23"/>
    <mergeCell ref="C21:C23"/>
    <mergeCell ref="D21:D23"/>
    <mergeCell ref="E21:F23"/>
    <mergeCell ref="G21:H23"/>
    <mergeCell ref="I21:I23"/>
    <mergeCell ref="T17:T18"/>
    <mergeCell ref="U17:U18"/>
    <mergeCell ref="B19:B20"/>
    <mergeCell ref="C19:C20"/>
    <mergeCell ref="E19:F19"/>
    <mergeCell ref="G19:H19"/>
    <mergeCell ref="E20:F20"/>
    <mergeCell ref="G20:H20"/>
    <mergeCell ref="K16:K18"/>
    <mergeCell ref="L16:L18"/>
    <mergeCell ref="M16:M18"/>
    <mergeCell ref="T16:U16"/>
    <mergeCell ref="N17:N18"/>
    <mergeCell ref="O17:O18"/>
    <mergeCell ref="P17:P18"/>
    <mergeCell ref="Q17:Q18"/>
    <mergeCell ref="R17:R18"/>
    <mergeCell ref="S17:S18"/>
    <mergeCell ref="C16:C18"/>
    <mergeCell ref="D16:D18"/>
    <mergeCell ref="E16:F18"/>
    <mergeCell ref="G16:H18"/>
    <mergeCell ref="I16:I18"/>
    <mergeCell ref="J16:J18"/>
    <mergeCell ref="AA14:AD14"/>
    <mergeCell ref="AF14:AI14"/>
    <mergeCell ref="AK14:AN14"/>
    <mergeCell ref="AP14:AS14"/>
    <mergeCell ref="B15:M15"/>
    <mergeCell ref="N15:O16"/>
    <mergeCell ref="P15:S16"/>
    <mergeCell ref="T15:U15"/>
    <mergeCell ref="V15:W15"/>
    <mergeCell ref="B16:B18"/>
    <mergeCell ref="B13:M13"/>
    <mergeCell ref="N13:W13"/>
    <mergeCell ref="C14:D14"/>
    <mergeCell ref="F14:G14"/>
    <mergeCell ref="I14:M14"/>
    <mergeCell ref="N14:O14"/>
    <mergeCell ref="P14:R14"/>
    <mergeCell ref="T14:W14"/>
    <mergeCell ref="F11:I11"/>
    <mergeCell ref="K11:T11"/>
    <mergeCell ref="C12:E12"/>
    <mergeCell ref="F12:I12"/>
    <mergeCell ref="K12:T12"/>
    <mergeCell ref="U12:W12"/>
    <mergeCell ref="B8:W8"/>
    <mergeCell ref="B9:E9"/>
    <mergeCell ref="F9:I9"/>
    <mergeCell ref="J9:T9"/>
    <mergeCell ref="U9:W9"/>
    <mergeCell ref="C10:E10"/>
    <mergeCell ref="F10:I10"/>
    <mergeCell ref="K10:T10"/>
    <mergeCell ref="U10:W11"/>
    <mergeCell ref="C11:E11"/>
    <mergeCell ref="D2:W2"/>
    <mergeCell ref="D3:W3"/>
    <mergeCell ref="B6:W6"/>
    <mergeCell ref="C7:D7"/>
    <mergeCell ref="F7:G7"/>
    <mergeCell ref="I7:O7"/>
    <mergeCell ref="P7:S7"/>
    <mergeCell ref="T7:W7"/>
  </mergeCells>
  <pageMargins left="0.31496062992125984" right="0.31496062992125984" top="0.35433070866141736" bottom="0.35433070866141736" header="0.31496062992125984" footer="0.31496062992125984"/>
  <pageSetup paperSize="5" scale="75"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G35"/>
  <sheetViews>
    <sheetView workbookViewId="0">
      <selection activeCell="C22" sqref="C22:G22"/>
    </sheetView>
  </sheetViews>
  <sheetFormatPr baseColWidth="10" defaultRowHeight="15" x14ac:dyDescent="0.25"/>
  <cols>
    <col min="2" max="2" width="14.42578125" bestFit="1" customWidth="1"/>
  </cols>
  <sheetData>
    <row r="2" spans="2:7" x14ac:dyDescent="0.25">
      <c r="C2" s="73" t="s">
        <v>117</v>
      </c>
      <c r="D2" s="73"/>
      <c r="E2" s="73"/>
      <c r="F2" s="73"/>
      <c r="G2" s="73"/>
    </row>
    <row r="3" spans="2:7" x14ac:dyDescent="0.25">
      <c r="C3" s="73" t="s">
        <v>118</v>
      </c>
      <c r="D3" s="73"/>
      <c r="E3" s="73"/>
      <c r="F3" s="73"/>
      <c r="G3" s="73"/>
    </row>
    <row r="4" spans="2:7" x14ac:dyDescent="0.25">
      <c r="B4" s="86"/>
      <c r="C4" s="86"/>
      <c r="D4" s="86"/>
      <c r="E4" s="86"/>
      <c r="F4" s="86"/>
      <c r="G4" s="86"/>
    </row>
    <row r="5" spans="2:7" x14ac:dyDescent="0.25">
      <c r="B5" s="87" t="s">
        <v>119</v>
      </c>
      <c r="C5" s="87"/>
      <c r="D5" s="87"/>
      <c r="E5" s="87"/>
      <c r="F5" s="87"/>
      <c r="G5" s="87"/>
    </row>
    <row r="6" spans="2:7" x14ac:dyDescent="0.25">
      <c r="B6" s="82" t="s">
        <v>120</v>
      </c>
      <c r="C6" s="82"/>
      <c r="D6" s="82"/>
      <c r="E6" s="82"/>
      <c r="F6" s="82"/>
      <c r="G6" s="82"/>
    </row>
    <row r="7" spans="2:7" ht="15.75" thickBot="1" x14ac:dyDescent="0.3">
      <c r="B7" s="1"/>
      <c r="C7" s="1"/>
      <c r="D7" s="1"/>
      <c r="E7" s="1"/>
      <c r="F7" s="1"/>
      <c r="G7" s="1"/>
    </row>
    <row r="8" spans="2:7" ht="15.75" thickBot="1" x14ac:dyDescent="0.3">
      <c r="B8" s="2" t="s">
        <v>2</v>
      </c>
      <c r="C8" s="83" t="s">
        <v>45</v>
      </c>
      <c r="D8" s="84"/>
      <c r="E8" s="84"/>
      <c r="F8" s="84"/>
      <c r="G8" s="85"/>
    </row>
    <row r="9" spans="2:7" ht="15.75" thickBot="1" x14ac:dyDescent="0.3">
      <c r="B9" s="3" t="s">
        <v>3</v>
      </c>
      <c r="C9" s="4" t="s">
        <v>4</v>
      </c>
      <c r="D9" s="5" t="s">
        <v>5</v>
      </c>
      <c r="E9" s="74" t="s">
        <v>46</v>
      </c>
      <c r="F9" s="75"/>
      <c r="G9" s="76"/>
    </row>
    <row r="10" spans="2:7" ht="25.5" customHeight="1" thickBot="1" x14ac:dyDescent="0.3">
      <c r="B10" s="3" t="s">
        <v>6</v>
      </c>
      <c r="C10" s="74" t="s">
        <v>47</v>
      </c>
      <c r="D10" s="75"/>
      <c r="E10" s="75"/>
      <c r="F10" s="75"/>
      <c r="G10" s="76"/>
    </row>
    <row r="11" spans="2:7" ht="15.75" thickBot="1" x14ac:dyDescent="0.3">
      <c r="B11" s="3" t="s">
        <v>7</v>
      </c>
      <c r="C11" s="6" t="s">
        <v>8</v>
      </c>
      <c r="D11" s="5" t="s">
        <v>9</v>
      </c>
      <c r="E11" s="7" t="s">
        <v>10</v>
      </c>
      <c r="F11" s="5" t="s">
        <v>11</v>
      </c>
      <c r="G11" s="7" t="s">
        <v>12</v>
      </c>
    </row>
    <row r="12" spans="2:7" ht="15.75" thickBot="1" x14ac:dyDescent="0.3">
      <c r="B12" s="3" t="s">
        <v>13</v>
      </c>
      <c r="C12" s="74" t="s">
        <v>99</v>
      </c>
      <c r="D12" s="75"/>
      <c r="E12" s="75"/>
      <c r="F12" s="75"/>
      <c r="G12" s="76"/>
    </row>
    <row r="13" spans="2:7" ht="15.75" thickBot="1" x14ac:dyDescent="0.3">
      <c r="B13" s="88" t="s">
        <v>14</v>
      </c>
      <c r="C13" s="8" t="s">
        <v>15</v>
      </c>
      <c r="D13" s="8" t="s">
        <v>16</v>
      </c>
      <c r="E13" s="8" t="s">
        <v>17</v>
      </c>
      <c r="F13" s="8" t="s">
        <v>18</v>
      </c>
      <c r="G13" s="8" t="s">
        <v>19</v>
      </c>
    </row>
    <row r="14" spans="2:7" ht="15.75" thickBot="1" x14ac:dyDescent="0.3">
      <c r="B14" s="89"/>
      <c r="C14" s="7">
        <v>20</v>
      </c>
      <c r="D14" s="7">
        <v>40</v>
      </c>
      <c r="E14" s="7">
        <v>60</v>
      </c>
      <c r="F14" s="7">
        <v>100</v>
      </c>
      <c r="G14" s="7">
        <v>100</v>
      </c>
    </row>
    <row r="15" spans="2:7" ht="15.75" thickBot="1" x14ac:dyDescent="0.3">
      <c r="B15" s="3" t="s">
        <v>111</v>
      </c>
      <c r="C15" s="6">
        <v>20</v>
      </c>
      <c r="D15" s="7">
        <v>40</v>
      </c>
      <c r="E15" s="7">
        <v>60</v>
      </c>
      <c r="F15" s="7">
        <v>100</v>
      </c>
      <c r="G15" s="7">
        <v>100</v>
      </c>
    </row>
    <row r="16" spans="2:7" ht="15.75" thickBot="1" x14ac:dyDescent="0.3">
      <c r="B16" s="3" t="s">
        <v>105</v>
      </c>
      <c r="C16" s="6">
        <v>20</v>
      </c>
      <c r="D16" s="7">
        <v>40</v>
      </c>
      <c r="E16" s="7">
        <v>60</v>
      </c>
      <c r="F16" s="7">
        <v>100</v>
      </c>
      <c r="G16" s="7">
        <v>100</v>
      </c>
    </row>
    <row r="17" spans="2:7" ht="15.75" thickBot="1" x14ac:dyDescent="0.3">
      <c r="B17" s="3" t="s">
        <v>104</v>
      </c>
      <c r="C17" s="6">
        <v>20</v>
      </c>
      <c r="D17" s="7">
        <v>40</v>
      </c>
      <c r="E17" s="7">
        <v>60</v>
      </c>
      <c r="F17" s="7">
        <v>100</v>
      </c>
      <c r="G17" s="7">
        <v>100</v>
      </c>
    </row>
    <row r="18" spans="2:7" ht="15.75" thickBot="1" x14ac:dyDescent="0.3">
      <c r="B18" s="3" t="s">
        <v>20</v>
      </c>
      <c r="C18" s="6">
        <v>20</v>
      </c>
      <c r="D18" s="7">
        <v>40</v>
      </c>
      <c r="E18" s="7">
        <v>60</v>
      </c>
      <c r="F18" s="7">
        <v>100</v>
      </c>
      <c r="G18" s="7">
        <v>100</v>
      </c>
    </row>
    <row r="19" spans="2:7" ht="15.75" thickBot="1" x14ac:dyDescent="0.3">
      <c r="B19" s="3" t="s">
        <v>21</v>
      </c>
      <c r="C19" s="6">
        <v>20</v>
      </c>
      <c r="D19" s="7">
        <v>40</v>
      </c>
      <c r="E19" s="7">
        <v>60</v>
      </c>
      <c r="F19" s="7">
        <v>100</v>
      </c>
      <c r="G19" s="7">
        <v>100</v>
      </c>
    </row>
    <row r="20" spans="2:7" ht="26.25" thickBot="1" x14ac:dyDescent="0.3">
      <c r="B20" s="9" t="s">
        <v>22</v>
      </c>
      <c r="C20" s="6" t="s">
        <v>23</v>
      </c>
      <c r="D20" s="10" t="s">
        <v>24</v>
      </c>
      <c r="E20" s="6" t="s">
        <v>25</v>
      </c>
      <c r="F20" s="10" t="s">
        <v>26</v>
      </c>
      <c r="G20" s="6" t="s">
        <v>27</v>
      </c>
    </row>
    <row r="21" spans="2:7" ht="15.75" thickBot="1" x14ac:dyDescent="0.3">
      <c r="B21" s="9" t="s">
        <v>28</v>
      </c>
      <c r="C21" s="90" t="s">
        <v>29</v>
      </c>
      <c r="D21" s="91"/>
      <c r="E21" s="91"/>
      <c r="F21" s="91"/>
      <c r="G21" s="92"/>
    </row>
    <row r="22" spans="2:7" ht="26.25" thickBot="1" x14ac:dyDescent="0.3">
      <c r="B22" s="9" t="s">
        <v>30</v>
      </c>
      <c r="C22" s="74" t="s">
        <v>48</v>
      </c>
      <c r="D22" s="75"/>
      <c r="E22" s="75"/>
      <c r="F22" s="75"/>
      <c r="G22" s="76"/>
    </row>
    <row r="23" spans="2:7" ht="26.25" thickBot="1" x14ac:dyDescent="0.3">
      <c r="B23" s="9" t="s">
        <v>31</v>
      </c>
      <c r="C23" s="11" t="s">
        <v>49</v>
      </c>
      <c r="D23" s="10" t="s">
        <v>24</v>
      </c>
      <c r="E23" s="6" t="s">
        <v>50</v>
      </c>
      <c r="F23" s="10" t="s">
        <v>32</v>
      </c>
      <c r="G23" s="6" t="s">
        <v>51</v>
      </c>
    </row>
    <row r="24" spans="2:7" ht="26.25" thickBot="1" x14ac:dyDescent="0.3">
      <c r="B24" s="9" t="s">
        <v>33</v>
      </c>
      <c r="C24" s="11" t="s">
        <v>52</v>
      </c>
      <c r="D24" s="10" t="s">
        <v>24</v>
      </c>
      <c r="E24" s="6" t="s">
        <v>50</v>
      </c>
      <c r="F24" s="10" t="s">
        <v>32</v>
      </c>
      <c r="G24" s="6" t="s">
        <v>51</v>
      </c>
    </row>
    <row r="25" spans="2:7" ht="15.75" thickBot="1" x14ac:dyDescent="0.3">
      <c r="B25" s="77" t="s">
        <v>34</v>
      </c>
      <c r="C25" s="78"/>
      <c r="D25" s="78"/>
      <c r="E25" s="78"/>
      <c r="F25" s="78"/>
      <c r="G25" s="79"/>
    </row>
    <row r="26" spans="2:7" ht="15.75" thickBot="1" x14ac:dyDescent="0.3">
      <c r="B26" s="9" t="s">
        <v>35</v>
      </c>
      <c r="C26" s="7">
        <f>+-10%</f>
        <v>-0.1</v>
      </c>
      <c r="D26" s="10" t="s">
        <v>36</v>
      </c>
      <c r="E26" s="7">
        <f>+-20%</f>
        <v>-0.2</v>
      </c>
      <c r="F26" s="10" t="s">
        <v>37</v>
      </c>
      <c r="G26" s="7" t="s">
        <v>38</v>
      </c>
    </row>
    <row r="27" spans="2:7" ht="15.75" thickBot="1" x14ac:dyDescent="0.3">
      <c r="B27" s="77" t="s">
        <v>39</v>
      </c>
      <c r="C27" s="78"/>
      <c r="D27" s="78"/>
      <c r="E27" s="78"/>
      <c r="F27" s="78"/>
      <c r="G27" s="79"/>
    </row>
    <row r="28" spans="2:7" ht="15.75" thickBot="1" x14ac:dyDescent="0.3">
      <c r="B28" s="9" t="s">
        <v>40</v>
      </c>
      <c r="C28" s="74" t="s">
        <v>53</v>
      </c>
      <c r="D28" s="75"/>
      <c r="E28" s="75"/>
      <c r="F28" s="75"/>
      <c r="G28" s="76"/>
    </row>
    <row r="29" spans="2:7" ht="26.25" thickBot="1" x14ac:dyDescent="0.3">
      <c r="B29" s="9" t="s">
        <v>41</v>
      </c>
      <c r="C29" s="12">
        <v>44804</v>
      </c>
      <c r="D29" s="10" t="s">
        <v>42</v>
      </c>
      <c r="E29" s="74" t="s">
        <v>54</v>
      </c>
      <c r="F29" s="75"/>
      <c r="G29" s="76"/>
    </row>
    <row r="30" spans="2:7" ht="26.25" thickBot="1" x14ac:dyDescent="0.3">
      <c r="B30" s="9" t="s">
        <v>43</v>
      </c>
      <c r="C30" s="12">
        <v>45208</v>
      </c>
      <c r="D30" s="10" t="s">
        <v>42</v>
      </c>
      <c r="E30" s="74" t="s">
        <v>54</v>
      </c>
      <c r="F30" s="75"/>
      <c r="G30" s="76"/>
    </row>
    <row r="31" spans="2:7" ht="15.75" thickBot="1" x14ac:dyDescent="0.3">
      <c r="B31" s="77" t="s">
        <v>116</v>
      </c>
      <c r="C31" s="78"/>
      <c r="D31" s="78"/>
      <c r="E31" s="78"/>
      <c r="F31" s="78"/>
      <c r="G31" s="79"/>
    </row>
    <row r="32" spans="2:7" ht="15.75" thickBot="1" x14ac:dyDescent="0.3">
      <c r="B32" s="80" t="s">
        <v>44</v>
      </c>
      <c r="C32" s="8" t="s">
        <v>15</v>
      </c>
      <c r="D32" s="8" t="s">
        <v>16</v>
      </c>
      <c r="E32" s="8" t="s">
        <v>17</v>
      </c>
      <c r="F32" s="8" t="s">
        <v>18</v>
      </c>
      <c r="G32" s="8" t="s">
        <v>19</v>
      </c>
    </row>
    <row r="33" spans="2:7" ht="15.75" thickBot="1" x14ac:dyDescent="0.3">
      <c r="B33" s="81"/>
      <c r="C33" s="4">
        <v>20</v>
      </c>
      <c r="D33" s="13">
        <v>40</v>
      </c>
      <c r="E33" s="13">
        <v>60</v>
      </c>
      <c r="F33" s="13"/>
      <c r="G33" s="14"/>
    </row>
    <row r="35" spans="2:7" ht="15.75" hidden="1" thickBot="1" x14ac:dyDescent="0.3">
      <c r="C35" s="12">
        <v>45028</v>
      </c>
      <c r="D35" s="12">
        <v>45117</v>
      </c>
      <c r="E35" s="12">
        <v>45208</v>
      </c>
      <c r="F35" s="12"/>
      <c r="G35" s="12"/>
    </row>
  </sheetData>
  <mergeCells count="19">
    <mergeCell ref="B32:B33"/>
    <mergeCell ref="E29:G29"/>
    <mergeCell ref="B25:G25"/>
    <mergeCell ref="B27:G27"/>
    <mergeCell ref="B6:G6"/>
    <mergeCell ref="C8:G8"/>
    <mergeCell ref="E9:G9"/>
    <mergeCell ref="C10:G10"/>
    <mergeCell ref="C12:G12"/>
    <mergeCell ref="B13:B14"/>
    <mergeCell ref="C22:G22"/>
    <mergeCell ref="C21:G21"/>
    <mergeCell ref="C2:G2"/>
    <mergeCell ref="C3:G3"/>
    <mergeCell ref="C28:G28"/>
    <mergeCell ref="E30:G30"/>
    <mergeCell ref="B31:G31"/>
    <mergeCell ref="B4:G4"/>
    <mergeCell ref="B5:G5"/>
  </mergeCells>
  <pageMargins left="0.7" right="0.7" top="0.75" bottom="0.75" header="0.3" footer="0.3"/>
  <pageSetup orientation="portrait" horizontalDpi="4294967292"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O47"/>
  <sheetViews>
    <sheetView workbookViewId="0">
      <selection activeCell="F12" sqref="F12"/>
    </sheetView>
  </sheetViews>
  <sheetFormatPr baseColWidth="10" defaultRowHeight="15" x14ac:dyDescent="0.25"/>
  <cols>
    <col min="1" max="1" width="6.42578125" customWidth="1"/>
    <col min="2" max="2" width="15.140625" bestFit="1" customWidth="1"/>
    <col min="4" max="4" width="12.5703125" bestFit="1" customWidth="1"/>
    <col min="6" max="6" width="12.5703125" bestFit="1" customWidth="1"/>
    <col min="8" max="8" width="15.140625" bestFit="1" customWidth="1"/>
    <col min="10" max="10" width="12.5703125" bestFit="1" customWidth="1"/>
    <col min="12" max="12" width="12.5703125" bestFit="1" customWidth="1"/>
    <col min="14" max="14" width="12.5703125" bestFit="1" customWidth="1"/>
  </cols>
  <sheetData>
    <row r="2" spans="2:7" x14ac:dyDescent="0.25">
      <c r="C2" s="73" t="s">
        <v>117</v>
      </c>
      <c r="D2" s="73"/>
      <c r="E2" s="73"/>
      <c r="F2" s="73"/>
      <c r="G2" s="73"/>
    </row>
    <row r="3" spans="2:7" x14ac:dyDescent="0.25">
      <c r="C3" s="73" t="s">
        <v>118</v>
      </c>
      <c r="D3" s="73"/>
      <c r="E3" s="73"/>
      <c r="F3" s="73"/>
      <c r="G3" s="73"/>
    </row>
    <row r="4" spans="2:7" x14ac:dyDescent="0.25">
      <c r="B4" s="86"/>
      <c r="C4" s="86"/>
      <c r="D4" s="86"/>
      <c r="E4" s="86"/>
      <c r="F4" s="86"/>
      <c r="G4" s="86"/>
    </row>
    <row r="5" spans="2:7" x14ac:dyDescent="0.25">
      <c r="B5" s="86"/>
      <c r="C5" s="86"/>
      <c r="D5" s="86"/>
      <c r="E5" s="86"/>
      <c r="F5" s="86"/>
      <c r="G5" s="86"/>
    </row>
    <row r="6" spans="2:7" x14ac:dyDescent="0.25">
      <c r="B6" s="87" t="s">
        <v>0</v>
      </c>
      <c r="C6" s="87"/>
      <c r="D6" s="87"/>
      <c r="E6" s="87"/>
      <c r="F6" s="87"/>
      <c r="G6" s="87"/>
    </row>
    <row r="7" spans="2:7" x14ac:dyDescent="0.25">
      <c r="B7" s="82" t="s">
        <v>1</v>
      </c>
      <c r="C7" s="82"/>
      <c r="D7" s="82"/>
      <c r="E7" s="82"/>
      <c r="F7" s="82"/>
      <c r="G7" s="82"/>
    </row>
    <row r="8" spans="2:7" ht="15.75" thickBot="1" x14ac:dyDescent="0.3">
      <c r="B8" s="1"/>
      <c r="C8" s="1"/>
      <c r="D8" s="1"/>
      <c r="E8" s="1"/>
      <c r="F8" s="1"/>
      <c r="G8" s="1"/>
    </row>
    <row r="9" spans="2:7" ht="15.75" thickBot="1" x14ac:dyDescent="0.3">
      <c r="B9" s="2" t="s">
        <v>2</v>
      </c>
      <c r="C9" s="83" t="s">
        <v>55</v>
      </c>
      <c r="D9" s="84"/>
      <c r="E9" s="84"/>
      <c r="F9" s="84"/>
      <c r="G9" s="85"/>
    </row>
    <row r="10" spans="2:7" ht="25.5" customHeight="1" thickBot="1" x14ac:dyDescent="0.3">
      <c r="B10" s="3" t="s">
        <v>3</v>
      </c>
      <c r="C10" s="4" t="s">
        <v>4</v>
      </c>
      <c r="D10" s="5" t="s">
        <v>5</v>
      </c>
      <c r="E10" s="74" t="s">
        <v>56</v>
      </c>
      <c r="F10" s="75"/>
      <c r="G10" s="76"/>
    </row>
    <row r="11" spans="2:7" ht="15.75" thickBot="1" x14ac:dyDescent="0.3">
      <c r="B11" s="3" t="s">
        <v>6</v>
      </c>
      <c r="C11" s="74" t="s">
        <v>57</v>
      </c>
      <c r="D11" s="75"/>
      <c r="E11" s="75"/>
      <c r="F11" s="75"/>
      <c r="G11" s="76"/>
    </row>
    <row r="12" spans="2:7" ht="15.75" thickBot="1" x14ac:dyDescent="0.3">
      <c r="B12" s="3" t="s">
        <v>7</v>
      </c>
      <c r="C12" s="6" t="s">
        <v>8</v>
      </c>
      <c r="D12" s="5" t="s">
        <v>9</v>
      </c>
      <c r="E12" s="7" t="s">
        <v>10</v>
      </c>
      <c r="F12" s="5" t="s">
        <v>11</v>
      </c>
      <c r="G12" s="7" t="s">
        <v>12</v>
      </c>
    </row>
    <row r="13" spans="2:7" ht="15.75" thickBot="1" x14ac:dyDescent="0.3">
      <c r="B13" s="3" t="s">
        <v>13</v>
      </c>
      <c r="C13" s="74" t="s">
        <v>58</v>
      </c>
      <c r="D13" s="75"/>
      <c r="E13" s="75"/>
      <c r="F13" s="75"/>
      <c r="G13" s="76"/>
    </row>
    <row r="14" spans="2:7" ht="15.75" thickBot="1" x14ac:dyDescent="0.3">
      <c r="B14" s="88" t="s">
        <v>14</v>
      </c>
      <c r="C14" s="8" t="s">
        <v>15</v>
      </c>
      <c r="D14" s="8" t="s">
        <v>16</v>
      </c>
      <c r="E14" s="8" t="s">
        <v>17</v>
      </c>
      <c r="F14" s="8" t="s">
        <v>18</v>
      </c>
      <c r="G14" s="8" t="s">
        <v>19</v>
      </c>
    </row>
    <row r="15" spans="2:7" ht="15.75" thickBot="1" x14ac:dyDescent="0.3">
      <c r="B15" s="89"/>
      <c r="C15" s="7">
        <v>25</v>
      </c>
      <c r="D15" s="7">
        <v>50</v>
      </c>
      <c r="E15" s="7">
        <v>75</v>
      </c>
      <c r="F15" s="7">
        <v>100</v>
      </c>
      <c r="G15" s="7">
        <v>100</v>
      </c>
    </row>
    <row r="16" spans="2:7" ht="15.75" thickBot="1" x14ac:dyDescent="0.3">
      <c r="B16" s="3" t="s">
        <v>111</v>
      </c>
      <c r="C16" s="7">
        <v>27</v>
      </c>
      <c r="D16" s="7">
        <v>63</v>
      </c>
      <c r="E16" s="7">
        <v>95</v>
      </c>
      <c r="F16" s="7">
        <v>101</v>
      </c>
      <c r="G16" s="7">
        <v>101</v>
      </c>
    </row>
    <row r="17" spans="2:7" ht="15.75" thickBot="1" x14ac:dyDescent="0.3">
      <c r="B17" s="3" t="s">
        <v>105</v>
      </c>
      <c r="C17" s="6">
        <v>27</v>
      </c>
      <c r="D17" s="7">
        <v>51</v>
      </c>
      <c r="E17" s="7">
        <v>75</v>
      </c>
      <c r="F17" s="7">
        <v>95</v>
      </c>
      <c r="G17" s="7">
        <v>95</v>
      </c>
    </row>
    <row r="18" spans="2:7" ht="15.75" thickBot="1" x14ac:dyDescent="0.3">
      <c r="B18" s="3" t="s">
        <v>104</v>
      </c>
      <c r="C18" s="6">
        <v>24</v>
      </c>
      <c r="D18" s="7">
        <v>48</v>
      </c>
      <c r="E18" s="7">
        <v>72</v>
      </c>
      <c r="F18" s="7">
        <v>100</v>
      </c>
      <c r="G18" s="7">
        <v>100</v>
      </c>
    </row>
    <row r="19" spans="2:7" ht="15.75" thickBot="1" x14ac:dyDescent="0.3">
      <c r="B19" s="3" t="s">
        <v>20</v>
      </c>
      <c r="C19" s="6">
        <v>24</v>
      </c>
      <c r="D19" s="7">
        <v>51</v>
      </c>
      <c r="E19" s="7">
        <v>75</v>
      </c>
      <c r="F19" s="7">
        <v>100</v>
      </c>
      <c r="G19" s="7">
        <v>100</v>
      </c>
    </row>
    <row r="20" spans="2:7" ht="15.75" thickBot="1" x14ac:dyDescent="0.3">
      <c r="B20" s="3" t="s">
        <v>21</v>
      </c>
      <c r="C20" s="6">
        <v>24</v>
      </c>
      <c r="D20" s="7">
        <v>48</v>
      </c>
      <c r="E20" s="7">
        <v>73</v>
      </c>
      <c r="F20" s="7">
        <v>100</v>
      </c>
      <c r="G20" s="7">
        <v>100</v>
      </c>
    </row>
    <row r="21" spans="2:7" ht="26.25" thickBot="1" x14ac:dyDescent="0.3">
      <c r="B21" s="9" t="s">
        <v>22</v>
      </c>
      <c r="C21" s="6" t="s">
        <v>23</v>
      </c>
      <c r="D21" s="10" t="s">
        <v>24</v>
      </c>
      <c r="E21" s="6" t="s">
        <v>25</v>
      </c>
      <c r="F21" s="10" t="s">
        <v>26</v>
      </c>
      <c r="G21" s="6" t="s">
        <v>27</v>
      </c>
    </row>
    <row r="22" spans="2:7" ht="15.75" thickBot="1" x14ac:dyDescent="0.3">
      <c r="B22" s="9" t="s">
        <v>28</v>
      </c>
      <c r="C22" s="90" t="s">
        <v>29</v>
      </c>
      <c r="D22" s="91"/>
      <c r="E22" s="91"/>
      <c r="F22" s="91"/>
      <c r="G22" s="92"/>
    </row>
    <row r="23" spans="2:7" ht="26.25" thickBot="1" x14ac:dyDescent="0.3">
      <c r="B23" s="9" t="s">
        <v>30</v>
      </c>
      <c r="C23" s="74" t="s">
        <v>59</v>
      </c>
      <c r="D23" s="75"/>
      <c r="E23" s="75"/>
      <c r="F23" s="75"/>
      <c r="G23" s="76"/>
    </row>
    <row r="24" spans="2:7" ht="26.25" thickBot="1" x14ac:dyDescent="0.3">
      <c r="B24" s="9" t="s">
        <v>31</v>
      </c>
      <c r="C24" s="11" t="s">
        <v>60</v>
      </c>
      <c r="D24" s="10" t="s">
        <v>24</v>
      </c>
      <c r="E24" s="6" t="s">
        <v>61</v>
      </c>
      <c r="F24" s="10" t="s">
        <v>32</v>
      </c>
      <c r="G24" s="6" t="s">
        <v>51</v>
      </c>
    </row>
    <row r="25" spans="2:7" ht="26.25" thickBot="1" x14ac:dyDescent="0.3">
      <c r="B25" s="9" t="s">
        <v>33</v>
      </c>
      <c r="C25" s="11" t="s">
        <v>62</v>
      </c>
      <c r="D25" s="10" t="s">
        <v>24</v>
      </c>
      <c r="E25" s="6" t="s">
        <v>61</v>
      </c>
      <c r="F25" s="10" t="s">
        <v>32</v>
      </c>
      <c r="G25" s="6" t="s">
        <v>51</v>
      </c>
    </row>
    <row r="26" spans="2:7" ht="15.75" thickBot="1" x14ac:dyDescent="0.3">
      <c r="B26" s="77" t="s">
        <v>34</v>
      </c>
      <c r="C26" s="78"/>
      <c r="D26" s="78"/>
      <c r="E26" s="78"/>
      <c r="F26" s="78"/>
      <c r="G26" s="79"/>
    </row>
    <row r="27" spans="2:7" ht="15.75" thickBot="1" x14ac:dyDescent="0.3">
      <c r="B27" s="9" t="s">
        <v>35</v>
      </c>
      <c r="C27" s="7">
        <f>+-10%</f>
        <v>-0.1</v>
      </c>
      <c r="D27" s="10" t="s">
        <v>36</v>
      </c>
      <c r="E27" s="7">
        <f>+-20%</f>
        <v>-0.2</v>
      </c>
      <c r="F27" s="10" t="s">
        <v>37</v>
      </c>
      <c r="G27" s="7" t="s">
        <v>38</v>
      </c>
    </row>
    <row r="28" spans="2:7" ht="15.75" thickBot="1" x14ac:dyDescent="0.3">
      <c r="B28" s="77" t="s">
        <v>39</v>
      </c>
      <c r="C28" s="78"/>
      <c r="D28" s="78"/>
      <c r="E28" s="78"/>
      <c r="F28" s="78"/>
      <c r="G28" s="79"/>
    </row>
    <row r="29" spans="2:7" ht="15.75" thickBot="1" x14ac:dyDescent="0.3">
      <c r="B29" s="9" t="s">
        <v>40</v>
      </c>
      <c r="C29" s="74" t="s">
        <v>53</v>
      </c>
      <c r="D29" s="75"/>
      <c r="E29" s="75"/>
      <c r="F29" s="75"/>
      <c r="G29" s="76"/>
    </row>
    <row r="30" spans="2:7" ht="26.25" thickBot="1" x14ac:dyDescent="0.3">
      <c r="B30" s="9" t="s">
        <v>41</v>
      </c>
      <c r="C30" s="12">
        <v>44804</v>
      </c>
      <c r="D30" s="10" t="s">
        <v>42</v>
      </c>
      <c r="E30" s="74" t="s">
        <v>54</v>
      </c>
      <c r="F30" s="75"/>
      <c r="G30" s="76"/>
    </row>
    <row r="31" spans="2:7" ht="26.25" thickBot="1" x14ac:dyDescent="0.3">
      <c r="B31" s="9" t="s">
        <v>43</v>
      </c>
      <c r="C31" s="12">
        <v>45208</v>
      </c>
      <c r="D31" s="10" t="s">
        <v>42</v>
      </c>
      <c r="E31" s="74" t="s">
        <v>54</v>
      </c>
      <c r="F31" s="75"/>
      <c r="G31" s="76"/>
    </row>
    <row r="32" spans="2:7" ht="15.75" thickBot="1" x14ac:dyDescent="0.3">
      <c r="B32" s="77" t="s">
        <v>116</v>
      </c>
      <c r="C32" s="78"/>
      <c r="D32" s="78"/>
      <c r="E32" s="78"/>
      <c r="F32" s="78"/>
      <c r="G32" s="79"/>
    </row>
    <row r="33" spans="1:15" ht="15.75" thickBot="1" x14ac:dyDescent="0.3">
      <c r="B33" s="80" t="s">
        <v>44</v>
      </c>
      <c r="C33" s="8" t="s">
        <v>15</v>
      </c>
      <c r="D33" s="8" t="s">
        <v>16</v>
      </c>
      <c r="E33" s="8" t="s">
        <v>17</v>
      </c>
      <c r="F33" s="8" t="s">
        <v>18</v>
      </c>
      <c r="G33" s="8" t="s">
        <v>19</v>
      </c>
    </row>
    <row r="34" spans="1:15" ht="15.75" thickBot="1" x14ac:dyDescent="0.3">
      <c r="B34" s="81"/>
      <c r="C34" s="7">
        <v>24</v>
      </c>
      <c r="D34" s="13">
        <v>47</v>
      </c>
      <c r="E34" s="13">
        <v>65</v>
      </c>
      <c r="F34" s="13"/>
      <c r="G34" s="13"/>
    </row>
    <row r="35" spans="1:15" hidden="1" x14ac:dyDescent="0.25">
      <c r="B35" s="20"/>
      <c r="C35" s="20"/>
      <c r="D35" s="21"/>
      <c r="E35" s="21"/>
      <c r="F35" s="21"/>
      <c r="G35" s="22"/>
    </row>
    <row r="36" spans="1:15" ht="15.75" hidden="1" thickBot="1" x14ac:dyDescent="0.3">
      <c r="A36" s="8" t="s">
        <v>15</v>
      </c>
      <c r="B36" s="93">
        <v>2017</v>
      </c>
      <c r="C36" s="93"/>
      <c r="D36" s="93">
        <v>2018</v>
      </c>
      <c r="E36" s="93"/>
      <c r="F36" s="93">
        <v>2019</v>
      </c>
      <c r="G36" s="93"/>
      <c r="H36" s="93">
        <v>2020</v>
      </c>
      <c r="I36" s="93"/>
      <c r="J36" s="93">
        <v>2021</v>
      </c>
      <c r="K36" s="93"/>
      <c r="L36" s="93">
        <v>2022</v>
      </c>
      <c r="M36" s="93"/>
      <c r="N36" s="93">
        <v>2023</v>
      </c>
      <c r="O36" s="93"/>
    </row>
    <row r="37" spans="1:15" ht="15.75" hidden="1" thickBot="1" x14ac:dyDescent="0.3">
      <c r="A37" s="19" t="s">
        <v>87</v>
      </c>
      <c r="B37" s="17">
        <v>135465228.31</v>
      </c>
      <c r="C37" s="16">
        <f>+B37/B38</f>
        <v>0.23881539314922906</v>
      </c>
      <c r="D37" s="17">
        <v>158131436.38</v>
      </c>
      <c r="E37" s="16">
        <f>+D37/D38</f>
        <v>0.26625581528702841</v>
      </c>
      <c r="F37" s="17">
        <v>156325935.71000001</v>
      </c>
      <c r="G37" s="16">
        <f>+F37/F38</f>
        <v>0.26563114460674825</v>
      </c>
      <c r="H37" s="17">
        <v>169217061.90000001</v>
      </c>
      <c r="I37" s="16">
        <f>+H37/H38</f>
        <v>0.32184246016224932</v>
      </c>
      <c r="J37" s="17">
        <v>201883072.97</v>
      </c>
      <c r="K37" s="16">
        <f>+J37/J38</f>
        <v>0.36353467847527388</v>
      </c>
      <c r="L37" s="17">
        <v>223520372.81</v>
      </c>
      <c r="M37" s="16">
        <f>+L37/L38</f>
        <v>0.39403813209970801</v>
      </c>
      <c r="N37" s="17">
        <v>202867864.22</v>
      </c>
      <c r="O37" s="16">
        <f>+N37/N38</f>
        <v>0.23638560464788538</v>
      </c>
    </row>
    <row r="38" spans="1:15" ht="17.25" hidden="1" thickBot="1" x14ac:dyDescent="0.35">
      <c r="A38" s="19" t="s">
        <v>88</v>
      </c>
      <c r="B38" s="17">
        <v>567238261</v>
      </c>
      <c r="C38" s="18"/>
      <c r="D38" s="17">
        <v>593907916</v>
      </c>
      <c r="E38" s="18"/>
      <c r="F38" s="17">
        <v>588507556</v>
      </c>
      <c r="G38" s="18"/>
      <c r="H38" s="17">
        <v>525776063.89999998</v>
      </c>
      <c r="I38" s="18"/>
      <c r="J38" s="17">
        <v>555333740.97000003</v>
      </c>
      <c r="K38" s="18"/>
      <c r="L38" s="17">
        <v>567255690.75999999</v>
      </c>
      <c r="M38" s="18"/>
      <c r="N38" s="17">
        <v>858207353.71000004</v>
      </c>
      <c r="O38" s="18"/>
    </row>
    <row r="39" spans="1:15" ht="15.75" hidden="1" thickBot="1" x14ac:dyDescent="0.3">
      <c r="A39" s="8" t="s">
        <v>16</v>
      </c>
    </row>
    <row r="40" spans="1:15" ht="15.75" hidden="1" thickBot="1" x14ac:dyDescent="0.3">
      <c r="A40" s="19" t="s">
        <v>87</v>
      </c>
      <c r="B40" s="17">
        <v>272234000.02999997</v>
      </c>
      <c r="C40" s="16">
        <f>+B40/B41</f>
        <v>0.47992883898570443</v>
      </c>
      <c r="D40" s="17">
        <v>312060103.92000002</v>
      </c>
      <c r="E40" s="16">
        <f>+D40/D41</f>
        <v>0.50701706709549854</v>
      </c>
      <c r="F40" s="17">
        <v>324323184.64999998</v>
      </c>
      <c r="G40" s="16">
        <f>+F40/F41</f>
        <v>0.62628359097335229</v>
      </c>
      <c r="H40" s="17">
        <v>336789757.81999999</v>
      </c>
      <c r="I40" s="16">
        <f>+H40/H41</f>
        <v>0.63849575504559264</v>
      </c>
      <c r="J40" s="17">
        <v>389951757.5</v>
      </c>
      <c r="K40" s="16">
        <f>+J40/J41</f>
        <v>0.65765638344598143</v>
      </c>
      <c r="L40" s="17">
        <v>445565779.45999998</v>
      </c>
      <c r="M40" s="16">
        <f>+L40/L41</f>
        <v>0.71408835963007977</v>
      </c>
      <c r="N40" s="17">
        <v>406992183.83999997</v>
      </c>
      <c r="O40" s="16">
        <f>+N40/N41</f>
        <v>0.47336030542652435</v>
      </c>
    </row>
    <row r="41" spans="1:15" ht="17.25" hidden="1" thickBot="1" x14ac:dyDescent="0.35">
      <c r="A41" s="19" t="s">
        <v>88</v>
      </c>
      <c r="B41" s="17">
        <v>567238261</v>
      </c>
      <c r="C41" s="18"/>
      <c r="D41" s="17">
        <v>615482444.62</v>
      </c>
      <c r="E41" s="18"/>
      <c r="F41" s="17">
        <v>517853556</v>
      </c>
      <c r="G41" s="18"/>
      <c r="H41" s="17">
        <v>527473761.81999999</v>
      </c>
      <c r="I41" s="18"/>
      <c r="J41" s="17">
        <v>592941492.41999996</v>
      </c>
      <c r="K41" s="18"/>
      <c r="L41" s="17">
        <v>623964490.46000004</v>
      </c>
      <c r="M41" s="18"/>
      <c r="N41" s="17">
        <v>859793648.03999996</v>
      </c>
      <c r="O41" s="18"/>
    </row>
    <row r="42" spans="1:15" ht="15.75" hidden="1" thickBot="1" x14ac:dyDescent="0.3">
      <c r="A42" s="8" t="s">
        <v>17</v>
      </c>
    </row>
    <row r="43" spans="1:15" ht="15.75" hidden="1" thickBot="1" x14ac:dyDescent="0.3">
      <c r="A43" s="19" t="s">
        <v>87</v>
      </c>
      <c r="B43" s="17">
        <v>412246375.97000003</v>
      </c>
      <c r="C43" s="16">
        <f>+B43/B44</f>
        <v>0.7227697588005908</v>
      </c>
      <c r="D43" s="17">
        <v>462519134</v>
      </c>
      <c r="E43" s="16">
        <f>+D43/D44</f>
        <v>0.75147412902338773</v>
      </c>
      <c r="F43" s="17">
        <v>492184344.13999999</v>
      </c>
      <c r="G43" s="16">
        <f>+F43/F44</f>
        <v>0.94551652922312279</v>
      </c>
      <c r="H43" s="17">
        <v>511399262.44999999</v>
      </c>
      <c r="I43" s="16">
        <f>+H43/H44</f>
        <v>0.934560553913522</v>
      </c>
      <c r="J43" s="39">
        <v>590797098.74000001</v>
      </c>
      <c r="K43" s="16">
        <f>+J43/J44</f>
        <v>0.97612436972327543</v>
      </c>
      <c r="L43" s="39">
        <v>675766867.47000003</v>
      </c>
      <c r="M43" s="16">
        <f>+L43/L44</f>
        <v>0.96842365633638694</v>
      </c>
      <c r="N43" s="17">
        <v>611817643.24000001</v>
      </c>
      <c r="O43" s="16">
        <f>+N43/N44</f>
        <v>0.64951925137103228</v>
      </c>
    </row>
    <row r="44" spans="1:15" ht="17.25" hidden="1" thickBot="1" x14ac:dyDescent="0.35">
      <c r="A44" s="19" t="s">
        <v>88</v>
      </c>
      <c r="B44" s="17">
        <v>570370261</v>
      </c>
      <c r="C44" s="18"/>
      <c r="D44" s="17">
        <v>615482444.62</v>
      </c>
      <c r="E44" s="18"/>
      <c r="F44" s="17">
        <v>520545467.93000001</v>
      </c>
      <c r="G44" s="18"/>
      <c r="H44" s="17">
        <v>547208268.42999995</v>
      </c>
      <c r="J44" s="17">
        <v>605247770.74000001</v>
      </c>
      <c r="L44" s="17">
        <v>697800867.47000003</v>
      </c>
      <c r="N44" s="17">
        <v>941954594.79999995</v>
      </c>
      <c r="O44" s="18"/>
    </row>
    <row r="45" spans="1:15" ht="15.75" hidden="1" thickBot="1" x14ac:dyDescent="0.3">
      <c r="A45" s="8" t="s">
        <v>18</v>
      </c>
    </row>
    <row r="46" spans="1:15" ht="15.75" hidden="1" thickBot="1" x14ac:dyDescent="0.3">
      <c r="A46" s="19" t="s">
        <v>87</v>
      </c>
      <c r="B46" s="17">
        <v>573789916.65999997</v>
      </c>
      <c r="C46" s="16">
        <f>+B46/B47</f>
        <v>1</v>
      </c>
      <c r="D46" s="17">
        <v>598706346.84000003</v>
      </c>
      <c r="E46" s="16">
        <f>+D46/D47</f>
        <v>0.95378126011840347</v>
      </c>
      <c r="F46" s="17">
        <v>555540930.21000004</v>
      </c>
      <c r="G46" s="16">
        <f>+F46/F47</f>
        <v>1.0075050528179443</v>
      </c>
      <c r="H46" s="17">
        <v>579319454.15999997</v>
      </c>
      <c r="I46" s="16">
        <f>+H46/H47</f>
        <v>1.000003452338585</v>
      </c>
      <c r="J46" s="17">
        <v>708335137.23000002</v>
      </c>
      <c r="K46" s="16">
        <f>+J46/J47</f>
        <v>1</v>
      </c>
      <c r="L46" s="17">
        <v>853327279.49000001</v>
      </c>
      <c r="M46" s="16">
        <f>+L46/L47</f>
        <v>1</v>
      </c>
    </row>
    <row r="47" spans="1:15" ht="17.25" hidden="1" thickBot="1" x14ac:dyDescent="0.35">
      <c r="A47" s="19" t="s">
        <v>88</v>
      </c>
      <c r="B47" s="17">
        <v>573789916.65999997</v>
      </c>
      <c r="C47" s="18"/>
      <c r="D47" s="17">
        <v>627718714.84000003</v>
      </c>
      <c r="E47" s="18"/>
      <c r="F47" s="17">
        <v>551402624.38999999</v>
      </c>
      <c r="G47" s="18"/>
      <c r="H47" s="17">
        <v>579317454.15999997</v>
      </c>
      <c r="J47" s="17">
        <v>708335137.23000002</v>
      </c>
      <c r="L47" s="17">
        <v>853327279.49000001</v>
      </c>
    </row>
  </sheetData>
  <mergeCells count="27">
    <mergeCell ref="C2:G2"/>
    <mergeCell ref="C3:G3"/>
    <mergeCell ref="C13:G13"/>
    <mergeCell ref="B14:B15"/>
    <mergeCell ref="E30:G30"/>
    <mergeCell ref="E31:G31"/>
    <mergeCell ref="C22:G22"/>
    <mergeCell ref="C23:G23"/>
    <mergeCell ref="B26:G26"/>
    <mergeCell ref="B28:G28"/>
    <mergeCell ref="C29:G29"/>
    <mergeCell ref="N36:O36"/>
    <mergeCell ref="L36:M36"/>
    <mergeCell ref="J36:K36"/>
    <mergeCell ref="B32:G32"/>
    <mergeCell ref="B4:G4"/>
    <mergeCell ref="B5:G5"/>
    <mergeCell ref="B6:G6"/>
    <mergeCell ref="B7:G7"/>
    <mergeCell ref="C9:G9"/>
    <mergeCell ref="H36:I36"/>
    <mergeCell ref="D36:E36"/>
    <mergeCell ref="B36:C36"/>
    <mergeCell ref="F36:G36"/>
    <mergeCell ref="E10:G10"/>
    <mergeCell ref="B33:B34"/>
    <mergeCell ref="C11:G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O53"/>
  <sheetViews>
    <sheetView workbookViewId="0">
      <selection activeCell="B4" sqref="B4:G4"/>
    </sheetView>
  </sheetViews>
  <sheetFormatPr baseColWidth="10" defaultRowHeight="15" x14ac:dyDescent="0.25"/>
  <cols>
    <col min="1" max="1" width="4.85546875" customWidth="1"/>
    <col min="2" max="2" width="15.7109375" bestFit="1" customWidth="1"/>
    <col min="4" max="4" width="12.5703125" bestFit="1" customWidth="1"/>
    <col min="6" max="6" width="12.5703125" bestFit="1" customWidth="1"/>
    <col min="8" max="8" width="12.5703125" bestFit="1" customWidth="1"/>
    <col min="10" max="10" width="15.140625" bestFit="1" customWidth="1"/>
    <col min="12" max="12" width="12.5703125" bestFit="1" customWidth="1"/>
    <col min="14" max="14" width="12.5703125" bestFit="1" customWidth="1"/>
  </cols>
  <sheetData>
    <row r="2" spans="2:7" x14ac:dyDescent="0.25">
      <c r="C2" s="73" t="s">
        <v>117</v>
      </c>
      <c r="D2" s="73"/>
      <c r="E2" s="73"/>
      <c r="F2" s="73"/>
      <c r="G2" s="73"/>
    </row>
    <row r="3" spans="2:7" x14ac:dyDescent="0.25">
      <c r="C3" s="73" t="s">
        <v>118</v>
      </c>
      <c r="D3" s="73"/>
      <c r="E3" s="73"/>
      <c r="F3" s="73"/>
      <c r="G3" s="73"/>
    </row>
    <row r="4" spans="2:7" x14ac:dyDescent="0.25">
      <c r="B4" s="86"/>
      <c r="C4" s="86"/>
      <c r="D4" s="86"/>
      <c r="E4" s="86"/>
      <c r="F4" s="86"/>
      <c r="G4" s="86"/>
    </row>
    <row r="5" spans="2:7" x14ac:dyDescent="0.25">
      <c r="B5" s="86"/>
      <c r="C5" s="86"/>
      <c r="D5" s="86"/>
      <c r="E5" s="86"/>
      <c r="F5" s="86"/>
      <c r="G5" s="86"/>
    </row>
    <row r="6" spans="2:7" x14ac:dyDescent="0.25">
      <c r="B6" s="87" t="s">
        <v>0</v>
      </c>
      <c r="C6" s="87"/>
      <c r="D6" s="87"/>
      <c r="E6" s="87"/>
      <c r="F6" s="87"/>
      <c r="G6" s="87"/>
    </row>
    <row r="7" spans="2:7" x14ac:dyDescent="0.25">
      <c r="B7" s="82" t="s">
        <v>1</v>
      </c>
      <c r="C7" s="82"/>
      <c r="D7" s="82"/>
      <c r="E7" s="82"/>
      <c r="F7" s="82"/>
      <c r="G7" s="82"/>
    </row>
    <row r="8" spans="2:7" ht="15.75" customHeight="1" thickBot="1" x14ac:dyDescent="0.3">
      <c r="B8" s="1"/>
      <c r="C8" s="1"/>
      <c r="D8" s="1"/>
      <c r="E8" s="1"/>
      <c r="F8" s="1"/>
      <c r="G8" s="1"/>
    </row>
    <row r="9" spans="2:7" ht="25.5" customHeight="1" thickBot="1" x14ac:dyDescent="0.3">
      <c r="B9" s="2" t="s">
        <v>2</v>
      </c>
      <c r="C9" s="83" t="s">
        <v>63</v>
      </c>
      <c r="D9" s="84"/>
      <c r="E9" s="84"/>
      <c r="F9" s="84"/>
      <c r="G9" s="85"/>
    </row>
    <row r="10" spans="2:7" ht="25.5" customHeight="1" thickBot="1" x14ac:dyDescent="0.3">
      <c r="B10" s="3" t="s">
        <v>3</v>
      </c>
      <c r="C10" s="4" t="s">
        <v>4</v>
      </c>
      <c r="D10" s="5" t="s">
        <v>5</v>
      </c>
      <c r="E10" s="74" t="s">
        <v>64</v>
      </c>
      <c r="F10" s="75"/>
      <c r="G10" s="76"/>
    </row>
    <row r="11" spans="2:7" ht="25.5" customHeight="1" thickBot="1" x14ac:dyDescent="0.3">
      <c r="B11" s="3" t="s">
        <v>6</v>
      </c>
      <c r="C11" s="74" t="s">
        <v>65</v>
      </c>
      <c r="D11" s="75"/>
      <c r="E11" s="75"/>
      <c r="F11" s="75"/>
      <c r="G11" s="76"/>
    </row>
    <row r="12" spans="2:7" ht="15.75" customHeight="1" thickBot="1" x14ac:dyDescent="0.3">
      <c r="B12" s="3" t="s">
        <v>7</v>
      </c>
      <c r="C12" s="6" t="s">
        <v>8</v>
      </c>
      <c r="D12" s="5" t="s">
        <v>9</v>
      </c>
      <c r="E12" s="7" t="s">
        <v>10</v>
      </c>
      <c r="F12" s="5" t="s">
        <v>11</v>
      </c>
      <c r="G12" s="7" t="s">
        <v>12</v>
      </c>
    </row>
    <row r="13" spans="2:7" ht="15.75" thickBot="1" x14ac:dyDescent="0.3">
      <c r="B13" s="3" t="s">
        <v>13</v>
      </c>
      <c r="C13" s="74" t="s">
        <v>100</v>
      </c>
      <c r="D13" s="75"/>
      <c r="E13" s="75"/>
      <c r="F13" s="75"/>
      <c r="G13" s="76"/>
    </row>
    <row r="14" spans="2:7" ht="15.75" thickBot="1" x14ac:dyDescent="0.3">
      <c r="B14" s="88"/>
      <c r="C14" s="8" t="s">
        <v>15</v>
      </c>
      <c r="D14" s="8" t="s">
        <v>16</v>
      </c>
      <c r="E14" s="8" t="s">
        <v>17</v>
      </c>
      <c r="F14" s="8" t="s">
        <v>18</v>
      </c>
      <c r="G14" s="8" t="s">
        <v>19</v>
      </c>
    </row>
    <row r="15" spans="2:7" ht="15.75" thickBot="1" x14ac:dyDescent="0.3">
      <c r="B15" s="89"/>
      <c r="C15" s="7">
        <v>25</v>
      </c>
      <c r="D15" s="7">
        <v>50</v>
      </c>
      <c r="E15" s="7">
        <v>75</v>
      </c>
      <c r="F15" s="7">
        <v>100</v>
      </c>
      <c r="G15" s="7">
        <v>100</v>
      </c>
    </row>
    <row r="16" spans="2:7" ht="15.75" thickBot="1" x14ac:dyDescent="0.3">
      <c r="B16" s="3" t="s">
        <v>111</v>
      </c>
      <c r="C16" s="7">
        <v>24</v>
      </c>
      <c r="D16" s="7">
        <v>54</v>
      </c>
      <c r="E16" s="7">
        <v>79</v>
      </c>
      <c r="F16" s="7">
        <v>100</v>
      </c>
      <c r="G16" s="7">
        <v>100</v>
      </c>
    </row>
    <row r="17" spans="2:7" ht="15.75" thickBot="1" x14ac:dyDescent="0.3">
      <c r="B17" s="3" t="s">
        <v>105</v>
      </c>
      <c r="C17" s="7">
        <v>25</v>
      </c>
      <c r="D17" s="7">
        <v>46</v>
      </c>
      <c r="E17" s="7">
        <v>66</v>
      </c>
      <c r="F17" s="7">
        <v>95</v>
      </c>
      <c r="G17" s="7">
        <v>95</v>
      </c>
    </row>
    <row r="18" spans="2:7" ht="15.75" thickBot="1" x14ac:dyDescent="0.3">
      <c r="B18" s="3" t="s">
        <v>104</v>
      </c>
      <c r="C18" s="7">
        <v>24</v>
      </c>
      <c r="D18" s="7">
        <v>47</v>
      </c>
      <c r="E18" s="7">
        <v>67</v>
      </c>
      <c r="F18" s="7">
        <v>100</v>
      </c>
      <c r="G18" s="7">
        <v>100</v>
      </c>
    </row>
    <row r="19" spans="2:7" ht="15.75" thickBot="1" x14ac:dyDescent="0.3">
      <c r="B19" s="3" t="s">
        <v>20</v>
      </c>
      <c r="C19" s="6">
        <v>24</v>
      </c>
      <c r="D19" s="7">
        <v>51</v>
      </c>
      <c r="E19" s="7">
        <v>75</v>
      </c>
      <c r="F19" s="7">
        <v>100</v>
      </c>
      <c r="G19" s="7">
        <v>100</v>
      </c>
    </row>
    <row r="20" spans="2:7" ht="15.75" thickBot="1" x14ac:dyDescent="0.3">
      <c r="B20" s="3" t="s">
        <v>21</v>
      </c>
      <c r="C20" s="6">
        <v>24</v>
      </c>
      <c r="D20" s="7">
        <v>48</v>
      </c>
      <c r="E20" s="7">
        <v>73</v>
      </c>
      <c r="F20" s="7">
        <v>100</v>
      </c>
      <c r="G20" s="7">
        <v>100</v>
      </c>
    </row>
    <row r="21" spans="2:7" ht="26.25" thickBot="1" x14ac:dyDescent="0.3">
      <c r="B21" s="9" t="s">
        <v>22</v>
      </c>
      <c r="C21" s="6" t="s">
        <v>23</v>
      </c>
      <c r="D21" s="10" t="s">
        <v>24</v>
      </c>
      <c r="E21" s="6" t="s">
        <v>25</v>
      </c>
      <c r="F21" s="10" t="s">
        <v>26</v>
      </c>
      <c r="G21" s="6" t="s">
        <v>27</v>
      </c>
    </row>
    <row r="22" spans="2:7" ht="15.75" customHeight="1" thickBot="1" x14ac:dyDescent="0.3">
      <c r="B22" s="9" t="s">
        <v>28</v>
      </c>
      <c r="C22" s="90" t="s">
        <v>29</v>
      </c>
      <c r="D22" s="91"/>
      <c r="E22" s="91"/>
      <c r="F22" s="91"/>
      <c r="G22" s="92"/>
    </row>
    <row r="23" spans="2:7" ht="26.25" thickBot="1" x14ac:dyDescent="0.3">
      <c r="B23" s="9" t="s">
        <v>30</v>
      </c>
      <c r="C23" s="74" t="s">
        <v>66</v>
      </c>
      <c r="D23" s="75"/>
      <c r="E23" s="75"/>
      <c r="F23" s="75"/>
      <c r="G23" s="76"/>
    </row>
    <row r="24" spans="2:7" ht="26.25" thickBot="1" x14ac:dyDescent="0.3">
      <c r="B24" s="9" t="s">
        <v>31</v>
      </c>
      <c r="C24" s="11" t="s">
        <v>67</v>
      </c>
      <c r="D24" s="10" t="s">
        <v>24</v>
      </c>
      <c r="E24" s="6" t="s">
        <v>61</v>
      </c>
      <c r="F24" s="10" t="s">
        <v>32</v>
      </c>
      <c r="G24" s="6" t="s">
        <v>51</v>
      </c>
    </row>
    <row r="25" spans="2:7" ht="26.25" thickBot="1" x14ac:dyDescent="0.3">
      <c r="B25" s="9" t="s">
        <v>33</v>
      </c>
      <c r="C25" s="11" t="s">
        <v>68</v>
      </c>
      <c r="D25" s="10" t="s">
        <v>24</v>
      </c>
      <c r="E25" s="6" t="s">
        <v>61</v>
      </c>
      <c r="F25" s="10" t="s">
        <v>32</v>
      </c>
      <c r="G25" s="6" t="s">
        <v>51</v>
      </c>
    </row>
    <row r="26" spans="2:7" ht="15.75" thickBot="1" x14ac:dyDescent="0.3">
      <c r="B26" s="77" t="s">
        <v>34</v>
      </c>
      <c r="C26" s="78"/>
      <c r="D26" s="78"/>
      <c r="E26" s="78"/>
      <c r="F26" s="78"/>
      <c r="G26" s="79"/>
    </row>
    <row r="27" spans="2:7" ht="15.75" thickBot="1" x14ac:dyDescent="0.3">
      <c r="B27" s="9" t="s">
        <v>35</v>
      </c>
      <c r="C27" s="7">
        <f>+-10%</f>
        <v>-0.1</v>
      </c>
      <c r="D27" s="10" t="s">
        <v>36</v>
      </c>
      <c r="E27" s="7">
        <f>+-20%</f>
        <v>-0.2</v>
      </c>
      <c r="F27" s="10" t="s">
        <v>37</v>
      </c>
      <c r="G27" s="7" t="s">
        <v>38</v>
      </c>
    </row>
    <row r="28" spans="2:7" ht="15.75" customHeight="1" thickBot="1" x14ac:dyDescent="0.3">
      <c r="B28" s="77" t="s">
        <v>39</v>
      </c>
      <c r="C28" s="78"/>
      <c r="D28" s="78"/>
      <c r="E28" s="78"/>
      <c r="F28" s="78"/>
      <c r="G28" s="79"/>
    </row>
    <row r="29" spans="2:7" ht="15.75" customHeight="1" thickBot="1" x14ac:dyDescent="0.3">
      <c r="B29" s="9" t="s">
        <v>40</v>
      </c>
      <c r="C29" s="74" t="s">
        <v>53</v>
      </c>
      <c r="D29" s="75"/>
      <c r="E29" s="75"/>
      <c r="F29" s="75"/>
      <c r="G29" s="76"/>
    </row>
    <row r="30" spans="2:7" ht="15.75" customHeight="1" thickBot="1" x14ac:dyDescent="0.3">
      <c r="B30" s="9" t="s">
        <v>41</v>
      </c>
      <c r="C30" s="12">
        <v>44804</v>
      </c>
      <c r="D30" s="10" t="s">
        <v>42</v>
      </c>
      <c r="E30" s="74" t="s">
        <v>54</v>
      </c>
      <c r="F30" s="75"/>
      <c r="G30" s="76"/>
    </row>
    <row r="31" spans="2:7" ht="26.25" thickBot="1" x14ac:dyDescent="0.3">
      <c r="B31" s="9" t="s">
        <v>43</v>
      </c>
      <c r="C31" s="12">
        <v>45208</v>
      </c>
      <c r="D31" s="10" t="s">
        <v>42</v>
      </c>
      <c r="E31" s="74" t="s">
        <v>54</v>
      </c>
      <c r="F31" s="75"/>
      <c r="G31" s="76"/>
    </row>
    <row r="32" spans="2:7" ht="15.75" thickBot="1" x14ac:dyDescent="0.3">
      <c r="B32" s="77" t="s">
        <v>116</v>
      </c>
      <c r="C32" s="78"/>
      <c r="D32" s="78"/>
      <c r="E32" s="78"/>
      <c r="F32" s="78"/>
      <c r="G32" s="79"/>
    </row>
    <row r="33" spans="1:15" ht="15.75" thickBot="1" x14ac:dyDescent="0.3">
      <c r="B33" s="80" t="s">
        <v>44</v>
      </c>
      <c r="C33" s="8" t="s">
        <v>15</v>
      </c>
      <c r="D33" s="8" t="s">
        <v>16</v>
      </c>
      <c r="E33" s="8" t="s">
        <v>17</v>
      </c>
      <c r="F33" s="8" t="s">
        <v>18</v>
      </c>
      <c r="G33" s="8" t="s">
        <v>19</v>
      </c>
    </row>
    <row r="34" spans="1:15" ht="15.75" thickBot="1" x14ac:dyDescent="0.3">
      <c r="B34" s="81"/>
      <c r="C34" s="7">
        <v>19</v>
      </c>
      <c r="D34" s="7">
        <v>40</v>
      </c>
      <c r="E34" s="13">
        <v>56</v>
      </c>
      <c r="F34" s="13"/>
      <c r="G34" s="14"/>
    </row>
    <row r="35" spans="1:15" hidden="1" x14ac:dyDescent="0.25"/>
    <row r="36" spans="1:15" ht="15.75" hidden="1" thickBot="1" x14ac:dyDescent="0.3">
      <c r="A36" s="8" t="s">
        <v>15</v>
      </c>
      <c r="B36" s="93">
        <v>2017</v>
      </c>
      <c r="C36" s="93"/>
      <c r="D36" s="93">
        <v>2018</v>
      </c>
      <c r="E36" s="93"/>
      <c r="F36" s="93">
        <v>2019</v>
      </c>
      <c r="G36" s="93"/>
      <c r="H36" s="93">
        <v>2020</v>
      </c>
      <c r="I36" s="93"/>
      <c r="J36" s="93">
        <v>2021</v>
      </c>
      <c r="K36" s="93"/>
      <c r="L36" s="93">
        <v>2022</v>
      </c>
      <c r="M36" s="93"/>
      <c r="N36" s="93">
        <v>2023</v>
      </c>
      <c r="O36" s="93"/>
    </row>
    <row r="37" spans="1:15" ht="15.75" hidden="1" thickBot="1" x14ac:dyDescent="0.3">
      <c r="A37" s="19" t="s">
        <v>89</v>
      </c>
      <c r="B37" s="17">
        <v>136440164.62</v>
      </c>
      <c r="C37" s="16">
        <f>+B37/B38</f>
        <v>0.23960579685310796</v>
      </c>
      <c r="D37" s="17">
        <v>150095318.49000001</v>
      </c>
      <c r="E37" s="16">
        <f>+D37/D38</f>
        <v>0.25272489967956585</v>
      </c>
      <c r="F37" s="17">
        <v>143375375.55000001</v>
      </c>
      <c r="G37" s="16">
        <f>+F37/F38</f>
        <v>0.24362537759838043</v>
      </c>
      <c r="H37" s="17">
        <v>219323076.56</v>
      </c>
      <c r="I37" s="16">
        <f>+H37/H38</f>
        <v>0.4171416152594466</v>
      </c>
      <c r="J37" s="17">
        <v>145105935.75999999</v>
      </c>
      <c r="K37" s="16">
        <f>+J37/J38</f>
        <v>0.2612950106480903</v>
      </c>
      <c r="L37" s="17">
        <v>135047003.44999999</v>
      </c>
      <c r="M37" s="16">
        <f>+L37/L38</f>
        <v>0.23807077769297685</v>
      </c>
      <c r="N37" s="17">
        <v>166470986.94999999</v>
      </c>
      <c r="O37" s="16">
        <f>+N37/N38</f>
        <v>0.19397525112124919</v>
      </c>
    </row>
    <row r="38" spans="1:15" ht="17.25" hidden="1" thickBot="1" x14ac:dyDescent="0.35">
      <c r="A38" s="19" t="s">
        <v>90</v>
      </c>
      <c r="B38" s="17">
        <v>569435992</v>
      </c>
      <c r="C38" s="18"/>
      <c r="D38" s="17">
        <v>593907916</v>
      </c>
      <c r="E38" s="18"/>
      <c r="F38" s="17">
        <v>588507556</v>
      </c>
      <c r="G38" s="18"/>
      <c r="H38" s="17">
        <v>525776063.89999998</v>
      </c>
      <c r="I38" s="18"/>
      <c r="J38" s="17">
        <v>555333740.97000003</v>
      </c>
      <c r="K38" s="18"/>
      <c r="L38" s="17">
        <v>567255690.75999999</v>
      </c>
      <c r="M38" s="18"/>
      <c r="N38" s="17">
        <v>858207353.71000004</v>
      </c>
      <c r="O38" s="18"/>
    </row>
    <row r="39" spans="1:15" ht="15.75" hidden="1" thickBot="1" x14ac:dyDescent="0.3">
      <c r="A39" s="8" t="s">
        <v>16</v>
      </c>
    </row>
    <row r="40" spans="1:15" ht="15.75" hidden="1" thickBot="1" x14ac:dyDescent="0.3">
      <c r="A40" s="19" t="s">
        <v>89</v>
      </c>
      <c r="B40" s="17">
        <v>266509234.28999999</v>
      </c>
      <c r="C40" s="16">
        <f>+B40/B41</f>
        <v>0.46802316333035721</v>
      </c>
      <c r="D40" s="17">
        <v>281360082.87</v>
      </c>
      <c r="E40" s="16">
        <f>+D40/D41</f>
        <v>0.45713746237508407</v>
      </c>
      <c r="F40" s="17">
        <v>282189676.36000001</v>
      </c>
      <c r="G40" s="16">
        <f>+F40/F41</f>
        <v>0.54492177004573861</v>
      </c>
      <c r="H40" s="17">
        <v>338317101.89999998</v>
      </c>
      <c r="I40" s="16">
        <f>+H40/H41</f>
        <v>0.64139133808792259</v>
      </c>
      <c r="J40" s="17">
        <v>268430270.13999999</v>
      </c>
      <c r="K40" s="16">
        <f>+J40/J41</f>
        <v>0.45270953976326217</v>
      </c>
      <c r="L40" s="17">
        <v>317590261.41000003</v>
      </c>
      <c r="M40" s="16">
        <f>+L40/L41</f>
        <v>0.50928811683423725</v>
      </c>
      <c r="N40" s="17">
        <v>343824609.56999999</v>
      </c>
      <c r="O40" s="16">
        <f>+N40/N41</f>
        <v>0.39989200938363334</v>
      </c>
    </row>
    <row r="41" spans="1:15" ht="17.25" hidden="1" thickBot="1" x14ac:dyDescent="0.35">
      <c r="A41" s="19" t="s">
        <v>90</v>
      </c>
      <c r="B41" s="17">
        <v>569435992</v>
      </c>
      <c r="D41" s="17">
        <v>615482444.62</v>
      </c>
      <c r="E41" s="18"/>
      <c r="F41" s="17">
        <v>517853556</v>
      </c>
      <c r="G41" s="18"/>
      <c r="H41" s="17">
        <v>527473761.81999999</v>
      </c>
      <c r="I41" s="18"/>
      <c r="J41" s="17">
        <v>592941492.41999996</v>
      </c>
      <c r="L41" s="17">
        <v>623596449.46000004</v>
      </c>
      <c r="N41" s="17">
        <v>859793648.03999996</v>
      </c>
    </row>
    <row r="42" spans="1:15" ht="15.75" hidden="1" thickBot="1" x14ac:dyDescent="0.3">
      <c r="A42" s="8" t="s">
        <v>17</v>
      </c>
    </row>
    <row r="43" spans="1:15" ht="15.75" hidden="1" thickBot="1" x14ac:dyDescent="0.3">
      <c r="A43" s="19" t="s">
        <v>89</v>
      </c>
      <c r="B43" s="17">
        <v>387033022.14999998</v>
      </c>
      <c r="C43" s="45">
        <f>+B43/B44</f>
        <v>0.67595993411730915</v>
      </c>
      <c r="D43" s="17">
        <v>404707556.16000003</v>
      </c>
      <c r="E43" s="16">
        <f>+D43/D44</f>
        <v>0.65754524714326701</v>
      </c>
      <c r="F43" s="17">
        <v>409161108.18000001</v>
      </c>
      <c r="G43" s="16">
        <f>+F43/F44</f>
        <v>0.7860237642776321</v>
      </c>
      <c r="H43" s="39">
        <v>460410663.63</v>
      </c>
      <c r="I43" s="16">
        <f>+H43/H44</f>
        <v>0.84138104300026073</v>
      </c>
      <c r="J43" s="17">
        <v>403141653.38</v>
      </c>
      <c r="K43" s="16">
        <f>+J43/J44</f>
        <v>0.66607705615685786</v>
      </c>
      <c r="L43" s="17">
        <v>487067987.77999997</v>
      </c>
      <c r="M43" s="16">
        <f>+L43/L44</f>
        <v>0.69800427383524299</v>
      </c>
      <c r="N43" s="17">
        <v>525186397.42000002</v>
      </c>
      <c r="O43" s="16">
        <f>+N43/N44</f>
        <v>0.55754958924693176</v>
      </c>
    </row>
    <row r="44" spans="1:15" ht="17.25" hidden="1" thickBot="1" x14ac:dyDescent="0.35">
      <c r="A44" s="19" t="s">
        <v>90</v>
      </c>
      <c r="B44" s="17">
        <v>572567992</v>
      </c>
      <c r="D44" s="17">
        <v>615482444.62</v>
      </c>
      <c r="E44" s="18"/>
      <c r="F44" s="17">
        <v>520545467.93000001</v>
      </c>
      <c r="G44" s="18"/>
      <c r="H44" s="17">
        <v>547208268.42999995</v>
      </c>
      <c r="J44" s="17">
        <v>605247770.74000001</v>
      </c>
      <c r="L44" s="17">
        <v>697800867.47000003</v>
      </c>
      <c r="N44" s="17">
        <v>941954594.79999995</v>
      </c>
      <c r="O44" s="18"/>
    </row>
    <row r="45" spans="1:15" ht="15.75" hidden="1" thickBot="1" x14ac:dyDescent="0.3">
      <c r="A45" s="8" t="s">
        <v>18</v>
      </c>
    </row>
    <row r="46" spans="1:15" ht="15.75" hidden="1" thickBot="1" x14ac:dyDescent="0.3">
      <c r="A46" s="19" t="s">
        <v>89</v>
      </c>
      <c r="B46" s="17">
        <v>573789916.65999997</v>
      </c>
      <c r="C46" s="16">
        <f>+B46/B47</f>
        <v>1</v>
      </c>
      <c r="D46" s="17">
        <v>598704816.67999995</v>
      </c>
      <c r="E46" s="16">
        <f>+D46/D47</f>
        <v>0.95377882246605394</v>
      </c>
      <c r="F46" s="17">
        <v>561201390.71000004</v>
      </c>
      <c r="G46" s="16">
        <f>+F46/F47</f>
        <v>0.99999999967925957</v>
      </c>
      <c r="H46" s="17">
        <v>579290921.46000004</v>
      </c>
      <c r="I46" s="16">
        <f>+H46/H47</f>
        <v>0.99995420006801206</v>
      </c>
      <c r="J46" s="17">
        <v>708335137.23000002</v>
      </c>
      <c r="K46" s="16">
        <f>+J46/J47</f>
        <v>1</v>
      </c>
      <c r="L46" s="17">
        <v>803327279.49000001</v>
      </c>
      <c r="M46" s="16">
        <f>+L46/L47</f>
        <v>0.94140583431261804</v>
      </c>
    </row>
    <row r="47" spans="1:15" ht="17.25" hidden="1" thickBot="1" x14ac:dyDescent="0.35">
      <c r="A47" s="19" t="s">
        <v>90</v>
      </c>
      <c r="B47" s="17">
        <v>573789916.65999997</v>
      </c>
      <c r="D47" s="17">
        <v>627718714.84000003</v>
      </c>
      <c r="E47" s="18"/>
      <c r="F47" s="17">
        <v>561201390.88999999</v>
      </c>
      <c r="G47" s="18"/>
      <c r="H47" s="17">
        <v>579317454.15999997</v>
      </c>
      <c r="J47" s="17">
        <v>708335137.23000002</v>
      </c>
      <c r="L47" s="17">
        <v>853327279.49000001</v>
      </c>
    </row>
    <row r="48" spans="1:15" hidden="1" x14ac:dyDescent="0.25"/>
    <row r="53" spans="2:2" x14ac:dyDescent="0.25">
      <c r="B53" s="56">
        <f>+B38-Recaudación!B38</f>
        <v>2197731</v>
      </c>
    </row>
  </sheetData>
  <mergeCells count="27">
    <mergeCell ref="C2:G2"/>
    <mergeCell ref="C3:G3"/>
    <mergeCell ref="B4:G4"/>
    <mergeCell ref="B5:G5"/>
    <mergeCell ref="B6:G6"/>
    <mergeCell ref="E30:G30"/>
    <mergeCell ref="E31:G31"/>
    <mergeCell ref="B7:G7"/>
    <mergeCell ref="C9:G9"/>
    <mergeCell ref="E10:G10"/>
    <mergeCell ref="C11:G11"/>
    <mergeCell ref="C13:G13"/>
    <mergeCell ref="N36:O36"/>
    <mergeCell ref="L36:M36"/>
    <mergeCell ref="J36:K36"/>
    <mergeCell ref="B14:B15"/>
    <mergeCell ref="B26:G26"/>
    <mergeCell ref="B28:G28"/>
    <mergeCell ref="C29:G29"/>
    <mergeCell ref="C22:G22"/>
    <mergeCell ref="C23:G23"/>
    <mergeCell ref="H36:I36"/>
    <mergeCell ref="B36:C36"/>
    <mergeCell ref="D36:E36"/>
    <mergeCell ref="F36:G36"/>
    <mergeCell ref="B32:G32"/>
    <mergeCell ref="B33:B3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Y63"/>
  <sheetViews>
    <sheetView workbookViewId="0">
      <selection activeCell="B4" sqref="B4:H4"/>
    </sheetView>
  </sheetViews>
  <sheetFormatPr baseColWidth="10" defaultRowHeight="15" x14ac:dyDescent="0.25"/>
  <cols>
    <col min="1" max="1" width="8.140625" customWidth="1"/>
    <col min="2" max="2" width="17.85546875" customWidth="1"/>
    <col min="3" max="3" width="0.5703125" customWidth="1"/>
    <col min="5" max="5" width="15.140625" bestFit="1" customWidth="1"/>
    <col min="7" max="7" width="12.85546875" bestFit="1" customWidth="1"/>
    <col min="9" max="9" width="12.85546875" bestFit="1" customWidth="1"/>
    <col min="11" max="11" width="12.85546875" bestFit="1" customWidth="1"/>
    <col min="13" max="13" width="12.85546875" bestFit="1" customWidth="1"/>
    <col min="15" max="15" width="12.85546875" bestFit="1" customWidth="1"/>
    <col min="18" max="18" width="12.85546875" bestFit="1" customWidth="1"/>
    <col min="19" max="20" width="12" bestFit="1" customWidth="1"/>
    <col min="21" max="21" width="12.85546875" bestFit="1" customWidth="1"/>
    <col min="24" max="24" width="12.85546875" bestFit="1" customWidth="1"/>
    <col min="25" max="26" width="12" bestFit="1" customWidth="1"/>
    <col min="27" max="27" width="12.85546875" bestFit="1" customWidth="1"/>
    <col min="30" max="30" width="12.85546875" bestFit="1" customWidth="1"/>
    <col min="31" max="32" width="12" bestFit="1" customWidth="1"/>
    <col min="33" max="33" width="12.85546875" bestFit="1" customWidth="1"/>
    <col min="34" max="34" width="12" bestFit="1" customWidth="1"/>
    <col min="37" max="37" width="12.85546875" bestFit="1" customWidth="1"/>
    <col min="39" max="39" width="12" bestFit="1" customWidth="1"/>
    <col min="40" max="40" width="12.85546875" bestFit="1" customWidth="1"/>
    <col min="45" max="45" width="12.85546875" bestFit="1" customWidth="1"/>
    <col min="46" max="47" width="12" bestFit="1" customWidth="1"/>
    <col min="48" max="48" width="12.85546875" bestFit="1" customWidth="1"/>
    <col min="49" max="49" width="11.5703125" bestFit="1" customWidth="1"/>
  </cols>
  <sheetData>
    <row r="2" spans="2:44" x14ac:dyDescent="0.25">
      <c r="D2" s="73" t="s">
        <v>117</v>
      </c>
      <c r="E2" s="73"/>
      <c r="F2" s="73"/>
      <c r="G2" s="73"/>
      <c r="H2" s="73"/>
    </row>
    <row r="3" spans="2:44" x14ac:dyDescent="0.25">
      <c r="D3" s="73" t="s">
        <v>118</v>
      </c>
      <c r="E3" s="73"/>
      <c r="F3" s="73"/>
      <c r="G3" s="73"/>
      <c r="H3" s="73"/>
    </row>
    <row r="4" spans="2:44" x14ac:dyDescent="0.25">
      <c r="B4" s="86"/>
      <c r="C4" s="86"/>
      <c r="D4" s="86"/>
      <c r="E4" s="86"/>
      <c r="F4" s="86"/>
      <c r="G4" s="86"/>
      <c r="H4" s="86"/>
      <c r="I4" s="32"/>
      <c r="J4" s="32"/>
      <c r="K4" s="41"/>
      <c r="L4" s="41"/>
      <c r="M4" s="63"/>
      <c r="N4" s="63"/>
      <c r="O4" s="63"/>
      <c r="P4" s="68"/>
      <c r="Q4" s="68"/>
      <c r="R4" s="68"/>
      <c r="S4" s="68"/>
      <c r="T4" s="68"/>
      <c r="U4" s="68"/>
      <c r="V4" s="68"/>
      <c r="W4" s="68"/>
      <c r="X4" s="63"/>
      <c r="Y4" s="63"/>
      <c r="Z4" s="63"/>
      <c r="AA4" s="63"/>
      <c r="AB4" s="63"/>
      <c r="AC4" s="63"/>
      <c r="AD4" s="41"/>
      <c r="AE4" s="41"/>
      <c r="AF4" s="41"/>
      <c r="AG4" s="41"/>
      <c r="AH4" s="41"/>
      <c r="AI4" s="59"/>
      <c r="AJ4" s="41"/>
      <c r="AK4" s="32"/>
      <c r="AL4" s="32"/>
      <c r="AM4" s="32"/>
      <c r="AN4" s="32"/>
      <c r="AO4" s="32"/>
      <c r="AP4" s="32"/>
      <c r="AQ4" s="32"/>
      <c r="AR4" s="32"/>
    </row>
    <row r="5" spans="2:44" x14ac:dyDescent="0.25">
      <c r="B5" s="87" t="s">
        <v>0</v>
      </c>
      <c r="C5" s="87"/>
      <c r="D5" s="87"/>
      <c r="E5" s="87"/>
      <c r="F5" s="87"/>
      <c r="G5" s="87"/>
      <c r="H5" s="87"/>
      <c r="I5" s="33"/>
      <c r="J5" s="33"/>
      <c r="K5" s="42"/>
      <c r="L5" s="42"/>
      <c r="M5" s="64"/>
      <c r="N5" s="64"/>
      <c r="O5" s="64"/>
      <c r="P5" s="69"/>
      <c r="Q5" s="69"/>
      <c r="R5" s="69"/>
      <c r="S5" s="69"/>
      <c r="T5" s="69"/>
      <c r="U5" s="69"/>
      <c r="V5" s="69"/>
      <c r="W5" s="69"/>
      <c r="X5" s="64"/>
      <c r="Y5" s="64"/>
      <c r="Z5" s="64"/>
      <c r="AA5" s="64"/>
      <c r="AB5" s="64"/>
      <c r="AC5" s="64"/>
      <c r="AD5" s="42"/>
      <c r="AE5" s="42"/>
      <c r="AF5" s="42"/>
      <c r="AG5" s="42"/>
      <c r="AH5" s="42"/>
      <c r="AI5" s="60"/>
      <c r="AJ5" s="42"/>
      <c r="AK5" s="33"/>
      <c r="AL5" s="33"/>
      <c r="AM5" s="33"/>
      <c r="AN5" s="33"/>
      <c r="AO5" s="33"/>
      <c r="AP5" s="33"/>
      <c r="AQ5" s="33"/>
      <c r="AR5" s="33"/>
    </row>
    <row r="6" spans="2:44" x14ac:dyDescent="0.25">
      <c r="B6" s="82" t="s">
        <v>1</v>
      </c>
      <c r="C6" s="82"/>
      <c r="D6" s="82"/>
      <c r="E6" s="82"/>
      <c r="F6" s="82"/>
      <c r="G6" s="82"/>
      <c r="H6" s="82"/>
      <c r="I6" s="34"/>
      <c r="J6" s="34"/>
      <c r="K6" s="40"/>
      <c r="L6" s="40"/>
      <c r="M6" s="62"/>
      <c r="N6" s="62"/>
      <c r="O6" s="62"/>
      <c r="P6" s="67"/>
      <c r="Q6" s="67"/>
      <c r="R6" s="67"/>
      <c r="S6" s="67"/>
      <c r="T6" s="67"/>
      <c r="U6" s="67"/>
      <c r="V6" s="67"/>
      <c r="W6" s="67"/>
      <c r="X6" s="62"/>
      <c r="Y6" s="62"/>
      <c r="Z6" s="62"/>
      <c r="AA6" s="62"/>
      <c r="AB6" s="62"/>
      <c r="AC6" s="62"/>
      <c r="AD6" s="40"/>
      <c r="AE6" s="40"/>
      <c r="AF6" s="40"/>
      <c r="AG6" s="40"/>
      <c r="AH6" s="40"/>
      <c r="AI6" s="58"/>
      <c r="AJ6" s="40"/>
      <c r="AK6" s="34"/>
      <c r="AL6" s="34"/>
      <c r="AM6" s="34"/>
      <c r="AN6" s="34"/>
      <c r="AO6" s="34"/>
      <c r="AP6" s="34"/>
      <c r="AQ6" s="34"/>
      <c r="AR6" s="34"/>
    </row>
    <row r="7" spans="2:44" ht="15.75" thickBot="1" x14ac:dyDescent="0.3">
      <c r="B7" s="105"/>
      <c r="C7" s="105"/>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2:44" ht="15.75" thickBot="1" x14ac:dyDescent="0.3">
      <c r="B8" s="103" t="s">
        <v>2</v>
      </c>
      <c r="C8" s="104"/>
      <c r="D8" s="83" t="s">
        <v>69</v>
      </c>
      <c r="E8" s="84"/>
      <c r="F8" s="84"/>
      <c r="G8" s="84"/>
      <c r="H8" s="85"/>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row>
    <row r="9" spans="2:44" ht="25.5" customHeight="1" thickBot="1" x14ac:dyDescent="0.3">
      <c r="B9" s="103" t="s">
        <v>3</v>
      </c>
      <c r="C9" s="104"/>
      <c r="D9" s="4" t="s">
        <v>4</v>
      </c>
      <c r="E9" s="5" t="s">
        <v>5</v>
      </c>
      <c r="F9" s="74" t="s">
        <v>64</v>
      </c>
      <c r="G9" s="75"/>
      <c r="H9" s="76"/>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row>
    <row r="10" spans="2:44" ht="25.5" customHeight="1" thickBot="1" x14ac:dyDescent="0.3">
      <c r="B10" s="103" t="s">
        <v>6</v>
      </c>
      <c r="C10" s="104"/>
      <c r="D10" s="74" t="s">
        <v>102</v>
      </c>
      <c r="E10" s="75"/>
      <c r="F10" s="75"/>
      <c r="G10" s="75"/>
      <c r="H10" s="76"/>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row>
    <row r="11" spans="2:44" ht="15.75" thickBot="1" x14ac:dyDescent="0.3">
      <c r="B11" s="103" t="s">
        <v>7</v>
      </c>
      <c r="C11" s="104"/>
      <c r="D11" s="6" t="s">
        <v>8</v>
      </c>
      <c r="E11" s="5" t="s">
        <v>9</v>
      </c>
      <c r="F11" s="7" t="s">
        <v>70</v>
      </c>
      <c r="G11" s="5" t="s">
        <v>11</v>
      </c>
      <c r="H11" s="7" t="s">
        <v>12</v>
      </c>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row>
    <row r="12" spans="2:44" ht="25.5" customHeight="1" thickBot="1" x14ac:dyDescent="0.3">
      <c r="B12" s="103" t="s">
        <v>13</v>
      </c>
      <c r="C12" s="104"/>
      <c r="D12" s="74" t="s">
        <v>71</v>
      </c>
      <c r="E12" s="75"/>
      <c r="F12" s="75"/>
      <c r="G12" s="75"/>
      <c r="H12" s="76"/>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row>
    <row r="13" spans="2:44" ht="15.75" thickBot="1" x14ac:dyDescent="0.3">
      <c r="B13" s="111" t="s">
        <v>14</v>
      </c>
      <c r="C13" s="112"/>
      <c r="D13" s="8" t="s">
        <v>15</v>
      </c>
      <c r="E13" s="8" t="s">
        <v>16</v>
      </c>
      <c r="F13" s="8" t="s">
        <v>17</v>
      </c>
      <c r="G13" s="8" t="s">
        <v>18</v>
      </c>
      <c r="H13" s="8" t="s">
        <v>19</v>
      </c>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row>
    <row r="14" spans="2:44" ht="15.75" thickBot="1" x14ac:dyDescent="0.3">
      <c r="B14" s="113"/>
      <c r="C14" s="114"/>
      <c r="D14" s="7">
        <v>25</v>
      </c>
      <c r="E14" s="7">
        <v>50</v>
      </c>
      <c r="F14" s="7">
        <v>75</v>
      </c>
      <c r="G14" s="7">
        <v>99</v>
      </c>
      <c r="H14" s="7">
        <v>99</v>
      </c>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row>
    <row r="15" spans="2:44" ht="15.75" thickBot="1" x14ac:dyDescent="0.3">
      <c r="B15" s="94" t="s">
        <v>112</v>
      </c>
      <c r="C15" s="95"/>
      <c r="D15" s="7">
        <v>19</v>
      </c>
      <c r="E15" s="7">
        <v>41</v>
      </c>
      <c r="F15" s="7">
        <v>60</v>
      </c>
      <c r="G15" s="7">
        <v>72</v>
      </c>
      <c r="H15" s="7">
        <v>72</v>
      </c>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row>
    <row r="16" spans="2:44" ht="15.75" thickBot="1" x14ac:dyDescent="0.3">
      <c r="B16" s="94" t="s">
        <v>105</v>
      </c>
      <c r="C16" s="95"/>
      <c r="D16" s="7">
        <v>25</v>
      </c>
      <c r="E16" s="7">
        <v>46</v>
      </c>
      <c r="F16" s="7">
        <v>66</v>
      </c>
      <c r="G16" s="7">
        <v>95</v>
      </c>
      <c r="H16" s="7">
        <v>95</v>
      </c>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row>
    <row r="17" spans="2:44" ht="15.75" thickBot="1" x14ac:dyDescent="0.3">
      <c r="B17" s="94" t="s">
        <v>104</v>
      </c>
      <c r="C17" s="95"/>
      <c r="D17" s="7"/>
      <c r="E17" s="7"/>
      <c r="F17" s="7"/>
      <c r="G17" s="7"/>
      <c r="H17" s="7"/>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row>
    <row r="18" spans="2:44" ht="15.75" thickBot="1" x14ac:dyDescent="0.3">
      <c r="B18" s="94" t="s">
        <v>20</v>
      </c>
      <c r="C18" s="95"/>
      <c r="D18" s="6">
        <v>24</v>
      </c>
      <c r="E18" s="7">
        <v>49</v>
      </c>
      <c r="F18" s="7">
        <v>73</v>
      </c>
      <c r="G18" s="7">
        <v>99</v>
      </c>
      <c r="H18" s="7">
        <v>99</v>
      </c>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row>
    <row r="19" spans="2:44" ht="15.75" thickBot="1" x14ac:dyDescent="0.3">
      <c r="B19" s="103" t="s">
        <v>21</v>
      </c>
      <c r="C19" s="104"/>
      <c r="D19" s="6">
        <v>23</v>
      </c>
      <c r="E19" s="7">
        <v>48</v>
      </c>
      <c r="F19" s="7">
        <v>72</v>
      </c>
      <c r="G19" s="7">
        <v>98</v>
      </c>
      <c r="H19" s="7">
        <v>98</v>
      </c>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row>
    <row r="20" spans="2:44" ht="26.25" thickBot="1" x14ac:dyDescent="0.3">
      <c r="B20" s="115" t="s">
        <v>22</v>
      </c>
      <c r="C20" s="116"/>
      <c r="D20" s="6" t="s">
        <v>23</v>
      </c>
      <c r="E20" s="10" t="s">
        <v>24</v>
      </c>
      <c r="F20" s="6" t="s">
        <v>72</v>
      </c>
      <c r="G20" s="10" t="s">
        <v>26</v>
      </c>
      <c r="H20" s="6" t="s">
        <v>27</v>
      </c>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row>
    <row r="21" spans="2:44" ht="15.75" thickBot="1" x14ac:dyDescent="0.3">
      <c r="B21" s="115" t="s">
        <v>28</v>
      </c>
      <c r="C21" s="116"/>
      <c r="D21" s="90" t="s">
        <v>29</v>
      </c>
      <c r="E21" s="91"/>
      <c r="F21" s="91"/>
      <c r="G21" s="91"/>
      <c r="H21" s="92"/>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row>
    <row r="22" spans="2:44" ht="15.75" thickBot="1" x14ac:dyDescent="0.3">
      <c r="B22" s="115" t="s">
        <v>30</v>
      </c>
      <c r="C22" s="116"/>
      <c r="D22" s="74" t="s">
        <v>73</v>
      </c>
      <c r="E22" s="75"/>
      <c r="F22" s="75"/>
      <c r="G22" s="75"/>
      <c r="H22" s="76"/>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row>
    <row r="23" spans="2:44" ht="26.25" thickBot="1" x14ac:dyDescent="0.3">
      <c r="B23" s="115" t="s">
        <v>31</v>
      </c>
      <c r="C23" s="116"/>
      <c r="D23" s="11" t="s">
        <v>74</v>
      </c>
      <c r="E23" s="10" t="s">
        <v>24</v>
      </c>
      <c r="F23" s="6" t="s">
        <v>75</v>
      </c>
      <c r="G23" s="10" t="s">
        <v>32</v>
      </c>
      <c r="H23" s="6" t="s">
        <v>51</v>
      </c>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row>
    <row r="24" spans="2:44" ht="26.25" thickBot="1" x14ac:dyDescent="0.3">
      <c r="B24" s="115" t="s">
        <v>33</v>
      </c>
      <c r="C24" s="116"/>
      <c r="D24" s="11" t="s">
        <v>76</v>
      </c>
      <c r="E24" s="10" t="s">
        <v>24</v>
      </c>
      <c r="F24" s="6" t="s">
        <v>75</v>
      </c>
      <c r="G24" s="10" t="s">
        <v>32</v>
      </c>
      <c r="H24" s="6" t="s">
        <v>51</v>
      </c>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row>
    <row r="25" spans="2:44" ht="15.75" thickBot="1" x14ac:dyDescent="0.3">
      <c r="B25" s="77" t="s">
        <v>34</v>
      </c>
      <c r="C25" s="78"/>
      <c r="D25" s="78"/>
      <c r="E25" s="78"/>
      <c r="F25" s="78"/>
      <c r="G25" s="78"/>
      <c r="H25" s="79"/>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row>
    <row r="26" spans="2:44" ht="15.75" thickBot="1" x14ac:dyDescent="0.3">
      <c r="B26" s="9" t="s">
        <v>35</v>
      </c>
      <c r="C26" s="109">
        <f>+-10%</f>
        <v>-0.1</v>
      </c>
      <c r="D26" s="110"/>
      <c r="E26" s="10" t="s">
        <v>36</v>
      </c>
      <c r="F26" s="7">
        <f>+-20%</f>
        <v>-0.2</v>
      </c>
      <c r="G26" s="10" t="s">
        <v>37</v>
      </c>
      <c r="H26" s="7" t="s">
        <v>38</v>
      </c>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row>
    <row r="27" spans="2:44" ht="15.75" thickBot="1" x14ac:dyDescent="0.3">
      <c r="B27" s="77" t="s">
        <v>39</v>
      </c>
      <c r="C27" s="78"/>
      <c r="D27" s="78"/>
      <c r="E27" s="78"/>
      <c r="F27" s="78"/>
      <c r="G27" s="78"/>
      <c r="H27" s="79"/>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row>
    <row r="28" spans="2:44" ht="15.75" thickBot="1" x14ac:dyDescent="0.3">
      <c r="B28" s="9" t="s">
        <v>40</v>
      </c>
      <c r="C28" s="74" t="s">
        <v>77</v>
      </c>
      <c r="D28" s="75"/>
      <c r="E28" s="75"/>
      <c r="F28" s="75"/>
      <c r="G28" s="75"/>
      <c r="H28" s="76"/>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row>
    <row r="29" spans="2:44" ht="15.75" thickBot="1" x14ac:dyDescent="0.3">
      <c r="B29" s="97" t="s">
        <v>41</v>
      </c>
      <c r="C29" s="98"/>
      <c r="D29" s="12">
        <v>44804</v>
      </c>
      <c r="E29" s="10" t="s">
        <v>42</v>
      </c>
      <c r="F29" s="74" t="s">
        <v>54</v>
      </c>
      <c r="G29" s="75"/>
      <c r="H29" s="76"/>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row>
    <row r="30" spans="2:44" ht="15.75" thickBot="1" x14ac:dyDescent="0.3">
      <c r="B30" s="97" t="s">
        <v>43</v>
      </c>
      <c r="C30" s="98"/>
      <c r="D30" s="12">
        <v>45208</v>
      </c>
      <c r="E30" s="10" t="s">
        <v>42</v>
      </c>
      <c r="F30" s="74" t="s">
        <v>54</v>
      </c>
      <c r="G30" s="75"/>
      <c r="H30" s="76"/>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row>
    <row r="31" spans="2:44" ht="15.75" thickBot="1" x14ac:dyDescent="0.3">
      <c r="B31" s="77" t="s">
        <v>116</v>
      </c>
      <c r="C31" s="78"/>
      <c r="D31" s="78"/>
      <c r="E31" s="78"/>
      <c r="F31" s="78"/>
      <c r="G31" s="78"/>
      <c r="H31" s="79"/>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row>
    <row r="32" spans="2:44" ht="15.75" thickBot="1" x14ac:dyDescent="0.3">
      <c r="B32" s="80" t="s">
        <v>44</v>
      </c>
      <c r="C32" s="99" t="s">
        <v>15</v>
      </c>
      <c r="D32" s="100"/>
      <c r="E32" s="8" t="s">
        <v>16</v>
      </c>
      <c r="F32" s="8" t="s">
        <v>17</v>
      </c>
      <c r="G32" s="8" t="s">
        <v>18</v>
      </c>
      <c r="H32" s="8" t="s">
        <v>19</v>
      </c>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row>
    <row r="33" spans="1:51" ht="15.75" thickBot="1" x14ac:dyDescent="0.3">
      <c r="B33" s="81"/>
      <c r="C33" s="101">
        <v>14</v>
      </c>
      <c r="D33" s="102"/>
      <c r="E33" s="13">
        <v>30</v>
      </c>
      <c r="F33" s="13">
        <v>40</v>
      </c>
      <c r="G33" s="13"/>
      <c r="H33" s="13"/>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row>
    <row r="34" spans="1:51" ht="71.25" hidden="1" customHeight="1" x14ac:dyDescent="0.25">
      <c r="B34" s="96" t="s">
        <v>113</v>
      </c>
      <c r="C34" s="96"/>
      <c r="D34" s="96"/>
      <c r="E34" s="96"/>
      <c r="F34" s="96"/>
      <c r="G34" s="96"/>
      <c r="H34" s="96"/>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row>
    <row r="35" spans="1:51" hidden="1" x14ac:dyDescent="0.25">
      <c r="E35" s="21"/>
      <c r="F35" s="21"/>
      <c r="G35" s="21"/>
      <c r="H35" s="21"/>
      <c r="I35" s="21"/>
      <c r="J35" s="21"/>
      <c r="K35" s="21"/>
      <c r="L35" s="21"/>
      <c r="M35" s="21"/>
      <c r="N35" s="21"/>
      <c r="O35" s="21"/>
      <c r="P35" s="21"/>
      <c r="Q35" s="21"/>
      <c r="R35" s="121">
        <v>2023</v>
      </c>
      <c r="S35" s="121"/>
      <c r="T35" s="121"/>
      <c r="U35" s="121"/>
      <c r="V35" s="121"/>
      <c r="W35" s="21"/>
      <c r="X35" s="120">
        <v>2022</v>
      </c>
      <c r="Y35" s="120"/>
      <c r="Z35" s="120"/>
      <c r="AA35" s="120"/>
      <c r="AB35" s="120"/>
      <c r="AC35" s="21"/>
      <c r="AD35" s="117">
        <v>2021</v>
      </c>
      <c r="AE35" s="118"/>
      <c r="AF35" s="118"/>
      <c r="AG35" s="118"/>
      <c r="AH35" s="118"/>
      <c r="AI35" s="118"/>
      <c r="AJ35" s="119"/>
      <c r="AK35" s="93">
        <v>2020</v>
      </c>
      <c r="AL35" s="93"/>
      <c r="AM35" s="93"/>
      <c r="AN35" s="93"/>
      <c r="AO35" s="93"/>
      <c r="AP35" s="93"/>
      <c r="AQ35" s="93"/>
      <c r="AR35" s="21"/>
      <c r="AS35" s="93">
        <v>2019</v>
      </c>
      <c r="AT35" s="93"/>
      <c r="AU35" s="93"/>
      <c r="AV35" s="93"/>
      <c r="AW35" s="93"/>
      <c r="AX35" s="93"/>
      <c r="AY35" s="93"/>
    </row>
    <row r="36" spans="1:51" ht="15.75" hidden="1" thickBot="1" x14ac:dyDescent="0.3">
      <c r="A36" s="8" t="s">
        <v>15</v>
      </c>
      <c r="B36" s="108">
        <v>2017</v>
      </c>
      <c r="C36" s="93"/>
      <c r="D36" s="93"/>
      <c r="E36" s="93">
        <v>2018</v>
      </c>
      <c r="F36" s="93"/>
      <c r="G36" s="93">
        <v>2019</v>
      </c>
      <c r="H36" s="93"/>
      <c r="I36" s="93">
        <v>2020</v>
      </c>
      <c r="J36" s="93"/>
      <c r="K36" s="93">
        <v>2021</v>
      </c>
      <c r="L36" s="93"/>
      <c r="M36" s="93">
        <v>2022</v>
      </c>
      <c r="N36" s="93"/>
      <c r="O36" s="93">
        <v>2023</v>
      </c>
      <c r="P36" s="93"/>
      <c r="Q36" s="70"/>
      <c r="R36" s="46">
        <v>1000</v>
      </c>
      <c r="S36" s="47">
        <v>2000</v>
      </c>
      <c r="T36" s="47">
        <v>3000</v>
      </c>
      <c r="U36" s="47">
        <v>4000</v>
      </c>
      <c r="V36" s="47">
        <v>5000</v>
      </c>
      <c r="W36" s="70"/>
      <c r="X36" s="46">
        <v>1000</v>
      </c>
      <c r="Y36" s="47">
        <v>2000</v>
      </c>
      <c r="Z36" s="47">
        <v>3000</v>
      </c>
      <c r="AA36" s="47">
        <v>4000</v>
      </c>
      <c r="AB36" s="47">
        <v>5000</v>
      </c>
      <c r="AC36" s="65"/>
      <c r="AD36" s="46">
        <v>1000</v>
      </c>
      <c r="AE36" s="47">
        <v>2000</v>
      </c>
      <c r="AF36" s="47">
        <v>3000</v>
      </c>
      <c r="AG36" s="47">
        <v>4000</v>
      </c>
      <c r="AH36" s="47">
        <v>5000</v>
      </c>
      <c r="AI36" s="47">
        <v>6000</v>
      </c>
      <c r="AJ36" s="48">
        <v>9000</v>
      </c>
      <c r="AK36">
        <v>1000</v>
      </c>
      <c r="AL36">
        <v>2000</v>
      </c>
      <c r="AM36">
        <v>3000</v>
      </c>
      <c r="AN36">
        <v>4000</v>
      </c>
      <c r="AO36">
        <v>5000</v>
      </c>
      <c r="AP36">
        <v>6000</v>
      </c>
      <c r="AQ36">
        <v>9000</v>
      </c>
      <c r="AR36" s="35"/>
      <c r="AS36">
        <v>1000</v>
      </c>
      <c r="AT36">
        <v>2000</v>
      </c>
      <c r="AU36">
        <v>3000</v>
      </c>
      <c r="AV36">
        <v>4000</v>
      </c>
      <c r="AW36">
        <v>5000</v>
      </c>
      <c r="AX36">
        <v>6000</v>
      </c>
      <c r="AY36">
        <v>9000</v>
      </c>
    </row>
    <row r="37" spans="1:51" ht="15.75" hidden="1" thickBot="1" x14ac:dyDescent="0.3">
      <c r="A37" t="s">
        <v>97</v>
      </c>
      <c r="B37" s="17">
        <v>136440164.62</v>
      </c>
      <c r="D37" s="29">
        <f>+B37/B38</f>
        <v>0.23960579685310796</v>
      </c>
      <c r="E37" s="23">
        <v>150095318.49000001</v>
      </c>
      <c r="F37" s="29">
        <f>+E37/E38</f>
        <v>0.25272489967956585</v>
      </c>
      <c r="G37" s="31">
        <f>SUM(AS37:AY37)-AV37-AY37</f>
        <v>110394613.83000001</v>
      </c>
      <c r="H37" s="29">
        <f>+G37/G38</f>
        <v>0.18758402114721534</v>
      </c>
      <c r="I37" s="23">
        <f>SUM(AK37:AQ37)-AN37-AQ37</f>
        <v>179555745.41999996</v>
      </c>
      <c r="J37" s="29">
        <f>+I37/I38</f>
        <v>0.3415061235160195</v>
      </c>
      <c r="K37" s="23">
        <f>SUM(AD37:AJ37)-AG37-AJ37</f>
        <v>108183853.33999999</v>
      </c>
      <c r="L37" s="29">
        <f>+K37/K38</f>
        <v>0.19480871655850684</v>
      </c>
      <c r="M37" s="23">
        <f>SUM(X37:AB37)-AA37</f>
        <v>107975637.51999998</v>
      </c>
      <c r="N37" s="29">
        <f>+M37/M38</f>
        <v>0.19034738527759143</v>
      </c>
      <c r="O37" s="23">
        <f>SUM(R37:V37)-U37</f>
        <v>120673504.61999999</v>
      </c>
      <c r="P37" s="29">
        <f>+O37/O38</f>
        <v>0.14061112864895961</v>
      </c>
      <c r="Q37" s="29"/>
      <c r="R37" s="49">
        <v>105393774.81999999</v>
      </c>
      <c r="S37" s="50">
        <v>7949654.3499999996</v>
      </c>
      <c r="T37" s="50">
        <v>6398136.3300000001</v>
      </c>
      <c r="U37" s="50">
        <v>45797482.329999998</v>
      </c>
      <c r="V37" s="50">
        <v>931939.12</v>
      </c>
      <c r="W37" s="29"/>
      <c r="X37" s="49">
        <v>94475900.890000001</v>
      </c>
      <c r="Y37" s="50">
        <v>4242389.8499999996</v>
      </c>
      <c r="Z37" s="50">
        <v>9044729.8399999999</v>
      </c>
      <c r="AA37" s="50">
        <v>27071365.93</v>
      </c>
      <c r="AB37" s="50">
        <v>212616.94</v>
      </c>
      <c r="AC37" s="29"/>
      <c r="AD37" s="49">
        <v>101029918.45</v>
      </c>
      <c r="AE37" s="50">
        <v>3091095.12</v>
      </c>
      <c r="AF37" s="50">
        <v>3410727.76</v>
      </c>
      <c r="AG37" s="50">
        <v>36922082.420000002</v>
      </c>
      <c r="AH37" s="50">
        <v>652112.01</v>
      </c>
      <c r="AI37" s="50"/>
      <c r="AJ37" s="51">
        <v>0</v>
      </c>
      <c r="AK37" s="23">
        <v>170386929.38999999</v>
      </c>
      <c r="AL37" s="23">
        <v>2270797.13</v>
      </c>
      <c r="AM37" s="23">
        <v>6797026.9800000004</v>
      </c>
      <c r="AN37" s="23">
        <v>39767331.140000001</v>
      </c>
      <c r="AO37" s="23">
        <v>100991.92</v>
      </c>
      <c r="AP37" s="23"/>
      <c r="AQ37" s="23"/>
      <c r="AR37" s="29"/>
      <c r="AS37" s="23">
        <v>98671615.150000006</v>
      </c>
      <c r="AT37" s="23">
        <v>4229025.7300000004</v>
      </c>
      <c r="AU37" s="23">
        <v>7325001.7300000004</v>
      </c>
      <c r="AV37" s="23">
        <v>32980761.719999999</v>
      </c>
      <c r="AW37" s="23">
        <v>168971.22</v>
      </c>
      <c r="AX37" s="23">
        <v>0</v>
      </c>
      <c r="AY37" s="23">
        <v>0</v>
      </c>
    </row>
    <row r="38" spans="1:51" ht="15.75" hidden="1" thickBot="1" x14ac:dyDescent="0.3">
      <c r="A38" t="s">
        <v>98</v>
      </c>
      <c r="B38" s="17">
        <v>569435992</v>
      </c>
      <c r="E38" s="23">
        <v>593907916</v>
      </c>
      <c r="F38" s="30"/>
      <c r="G38" s="23">
        <v>588507556</v>
      </c>
      <c r="H38" s="30"/>
      <c r="I38" s="23">
        <v>525776063.89999998</v>
      </c>
      <c r="J38" s="30"/>
      <c r="K38" s="23">
        <v>555333740.97000003</v>
      </c>
      <c r="L38" s="30"/>
      <c r="M38" s="23">
        <v>567255690.75999999</v>
      </c>
      <c r="N38" s="30"/>
      <c r="O38" s="23">
        <v>858207353.71000004</v>
      </c>
      <c r="P38" s="30"/>
      <c r="Q38" s="30"/>
      <c r="R38" s="30"/>
      <c r="S38" s="30"/>
      <c r="T38" s="30"/>
      <c r="U38" s="30"/>
      <c r="V38" s="30"/>
      <c r="W38" s="30"/>
      <c r="X38" s="49"/>
      <c r="Y38" s="50"/>
      <c r="Z38" s="50"/>
      <c r="AA38" s="50"/>
      <c r="AB38" s="50"/>
      <c r="AC38" s="30"/>
      <c r="AD38" s="49"/>
      <c r="AE38" s="50"/>
      <c r="AF38" s="50"/>
      <c r="AG38" s="50"/>
      <c r="AH38" s="50"/>
      <c r="AI38" s="50"/>
      <c r="AJ38" s="52"/>
      <c r="AK38" s="30"/>
      <c r="AL38" s="30"/>
      <c r="AM38" s="30"/>
      <c r="AN38" s="30"/>
      <c r="AO38" s="30"/>
      <c r="AP38" s="30"/>
      <c r="AQ38" s="30"/>
      <c r="AR38" s="30"/>
      <c r="AS38" s="30"/>
      <c r="AT38" s="30"/>
      <c r="AU38" s="30"/>
      <c r="AV38" s="30"/>
      <c r="AW38" s="30"/>
    </row>
    <row r="39" spans="1:51" ht="15.75" hidden="1" thickBot="1" x14ac:dyDescent="0.3">
      <c r="A39" s="8" t="s">
        <v>16</v>
      </c>
      <c r="E39" s="30"/>
      <c r="F39" s="30"/>
      <c r="G39" s="30"/>
      <c r="H39" s="30"/>
      <c r="I39" s="23"/>
      <c r="J39" s="29"/>
      <c r="K39" s="23"/>
      <c r="L39" s="29"/>
      <c r="M39" s="23"/>
      <c r="N39" s="29"/>
      <c r="O39" s="29"/>
      <c r="P39" s="29"/>
      <c r="Q39" s="29"/>
      <c r="R39" s="29"/>
      <c r="S39" s="29"/>
      <c r="T39" s="29"/>
      <c r="U39" s="29"/>
      <c r="V39" s="29"/>
      <c r="W39" s="29"/>
      <c r="X39" s="49"/>
      <c r="Y39" s="50"/>
      <c r="Z39" s="50"/>
      <c r="AA39" s="50"/>
      <c r="AB39" s="50"/>
      <c r="AC39" s="29"/>
      <c r="AD39" s="49"/>
      <c r="AE39" s="50"/>
      <c r="AF39" s="50"/>
      <c r="AG39" s="50"/>
      <c r="AH39" s="50"/>
      <c r="AI39" s="50"/>
      <c r="AJ39" s="51"/>
      <c r="AK39" s="30"/>
      <c r="AL39" s="30"/>
      <c r="AM39" s="30"/>
      <c r="AN39" s="30"/>
      <c r="AO39" s="30"/>
      <c r="AP39" s="30"/>
      <c r="AQ39" s="30"/>
      <c r="AR39" s="30"/>
      <c r="AS39" s="30"/>
      <c r="AT39" s="30"/>
      <c r="AU39" s="30"/>
      <c r="AV39" s="30"/>
      <c r="AW39" s="30"/>
    </row>
    <row r="40" spans="1:51" ht="15.75" hidden="1" thickBot="1" x14ac:dyDescent="0.3">
      <c r="A40" t="s">
        <v>97</v>
      </c>
      <c r="B40" s="17">
        <v>266509234.28999999</v>
      </c>
      <c r="D40" s="29">
        <f>+B40/B41</f>
        <v>0.46802316333035721</v>
      </c>
      <c r="E40" s="17">
        <v>281360082.87</v>
      </c>
      <c r="F40" s="29">
        <f>+E40/E41</f>
        <v>0.45713746237508407</v>
      </c>
      <c r="G40" s="17">
        <f>SUM(AS40:AY40)-AV40-AY40</f>
        <v>214299591.63</v>
      </c>
      <c r="H40" s="29">
        <f>+G40/G41</f>
        <v>0.41382276735780493</v>
      </c>
      <c r="I40" s="23">
        <f>SUM(AK40:AQ40)-AN40-AQ40</f>
        <v>275104578.70000005</v>
      </c>
      <c r="J40" s="29">
        <f>+I40/I41</f>
        <v>0.5215512099611872</v>
      </c>
      <c r="K40" s="23">
        <f>SUM(AD40:AJ40)-AG40-AJ40</f>
        <v>205320766.53000003</v>
      </c>
      <c r="L40" s="29">
        <f>+K40/K41</f>
        <v>0.34627491776973601</v>
      </c>
      <c r="M40" s="23">
        <f>SUM(X40:AB40)-AA40</f>
        <v>255452720.30000001</v>
      </c>
      <c r="N40" s="29">
        <f>+M40/M41</f>
        <v>0.40964428280694654</v>
      </c>
      <c r="O40" s="23">
        <f>SUM(R40:V40)-U40</f>
        <v>254885184.66</v>
      </c>
      <c r="P40" s="29">
        <f>+O40/O41</f>
        <v>0.29644925295859131</v>
      </c>
      <c r="Q40" s="29"/>
      <c r="R40" s="49">
        <v>218665471.16999999</v>
      </c>
      <c r="S40" s="50">
        <v>18320066.59</v>
      </c>
      <c r="T40" s="50">
        <v>15281970.810000001</v>
      </c>
      <c r="U40" s="50">
        <v>88939424.909999996</v>
      </c>
      <c r="V40" s="50">
        <v>2617676.09</v>
      </c>
      <c r="W40" s="29"/>
      <c r="X40" s="49">
        <v>199015537.97</v>
      </c>
      <c r="Y40" s="50">
        <v>7939091.4900000002</v>
      </c>
      <c r="Z40" s="50">
        <v>47959360.780000001</v>
      </c>
      <c r="AA40" s="50">
        <v>62137541.109999999</v>
      </c>
      <c r="AB40" s="50">
        <v>538730.06000000006</v>
      </c>
      <c r="AC40" s="29"/>
      <c r="AD40" s="49">
        <v>189119098.19</v>
      </c>
      <c r="AE40" s="50">
        <v>6331635.96</v>
      </c>
      <c r="AF40" s="50">
        <v>8974400.3399999999</v>
      </c>
      <c r="AG40" s="50">
        <v>63109503.609999999</v>
      </c>
      <c r="AH40" s="50">
        <v>895632.04</v>
      </c>
      <c r="AI40" s="50"/>
      <c r="AJ40" s="51"/>
      <c r="AK40" s="23">
        <v>259980153.12</v>
      </c>
      <c r="AL40" s="23">
        <v>2966212.34</v>
      </c>
      <c r="AM40" s="23">
        <v>11637367.439999999</v>
      </c>
      <c r="AN40" s="23">
        <v>63212523.200000003</v>
      </c>
      <c r="AO40" s="23">
        <v>520845.8</v>
      </c>
      <c r="AP40" s="29"/>
      <c r="AQ40" s="29"/>
      <c r="AR40" s="29"/>
      <c r="AS40" s="23">
        <v>192057099.00999999</v>
      </c>
      <c r="AT40" s="23">
        <v>8587064.8599999994</v>
      </c>
      <c r="AU40" s="23">
        <v>13390168.77</v>
      </c>
      <c r="AV40" s="23">
        <v>67890084.730000004</v>
      </c>
      <c r="AW40" s="23">
        <v>265258.99</v>
      </c>
      <c r="AX40" s="23">
        <v>0</v>
      </c>
      <c r="AY40" s="23">
        <v>0</v>
      </c>
    </row>
    <row r="41" spans="1:51" ht="15.75" hidden="1" thickBot="1" x14ac:dyDescent="0.3">
      <c r="A41" t="s">
        <v>98</v>
      </c>
      <c r="B41" s="17">
        <v>569435992</v>
      </c>
      <c r="E41" s="23">
        <v>615482444.62</v>
      </c>
      <c r="F41" s="30"/>
      <c r="G41" s="23">
        <v>517853556</v>
      </c>
      <c r="H41" s="30"/>
      <c r="I41" s="23">
        <v>527473761.81999999</v>
      </c>
      <c r="J41" s="30"/>
      <c r="K41" s="17">
        <v>592941492.41999996</v>
      </c>
      <c r="L41" s="30"/>
      <c r="M41" s="17">
        <v>623596449.46000004</v>
      </c>
      <c r="N41" s="30"/>
      <c r="O41" s="17">
        <v>859793648.03999996</v>
      </c>
      <c r="P41" s="30"/>
      <c r="Q41" s="30"/>
      <c r="R41" s="30"/>
      <c r="S41" s="30"/>
      <c r="T41" s="30"/>
      <c r="U41" s="30"/>
      <c r="V41" s="30"/>
      <c r="W41" s="30"/>
      <c r="X41" s="49"/>
      <c r="Y41" s="50"/>
      <c r="Z41" s="50"/>
      <c r="AA41" s="50"/>
      <c r="AB41" s="50"/>
      <c r="AC41" s="30"/>
      <c r="AD41" s="49"/>
      <c r="AE41" s="50"/>
      <c r="AF41" s="50"/>
      <c r="AG41" s="50"/>
      <c r="AH41" s="50"/>
      <c r="AI41" s="50"/>
      <c r="AJ41" s="52"/>
      <c r="AK41" s="30"/>
      <c r="AL41" s="30"/>
      <c r="AM41" s="30"/>
      <c r="AN41" s="30"/>
      <c r="AO41" s="30"/>
      <c r="AP41" s="30"/>
      <c r="AQ41" s="30"/>
      <c r="AR41" s="30"/>
      <c r="AS41" s="30"/>
      <c r="AT41" s="30"/>
      <c r="AU41" s="30"/>
      <c r="AV41" s="30"/>
      <c r="AW41" s="30"/>
    </row>
    <row r="42" spans="1:51" ht="15.75" hidden="1" thickBot="1" x14ac:dyDescent="0.3">
      <c r="A42" s="8" t="s">
        <v>17</v>
      </c>
      <c r="E42" s="30"/>
      <c r="F42" s="30"/>
      <c r="G42" s="30"/>
      <c r="H42" s="30"/>
      <c r="I42" s="30"/>
      <c r="J42" s="30"/>
      <c r="K42" s="30"/>
      <c r="L42" s="30"/>
      <c r="M42" s="30"/>
      <c r="N42" s="30"/>
      <c r="O42" s="30"/>
      <c r="P42" s="30"/>
      <c r="Q42" s="30"/>
      <c r="R42" s="30"/>
      <c r="S42" s="30"/>
      <c r="T42" s="30"/>
      <c r="U42" s="30"/>
      <c r="V42" s="30"/>
      <c r="W42" s="30"/>
      <c r="X42" s="49"/>
      <c r="Y42" s="50"/>
      <c r="Z42" s="50"/>
      <c r="AA42" s="50"/>
      <c r="AB42" s="50"/>
      <c r="AC42" s="30"/>
      <c r="AD42" s="49"/>
      <c r="AE42" s="50"/>
      <c r="AF42" s="50"/>
      <c r="AG42" s="50"/>
      <c r="AH42" s="50"/>
      <c r="AI42" s="50"/>
      <c r="AJ42" s="52"/>
      <c r="AK42" s="30"/>
      <c r="AL42" s="30"/>
      <c r="AM42" s="30"/>
      <c r="AN42" s="30"/>
      <c r="AO42" s="30"/>
      <c r="AP42" s="30"/>
      <c r="AQ42" s="30"/>
      <c r="AR42" s="30"/>
      <c r="AS42" s="30"/>
      <c r="AT42" s="30"/>
      <c r="AU42" s="30"/>
      <c r="AV42" s="30"/>
      <c r="AW42" s="30"/>
    </row>
    <row r="43" spans="1:51" ht="15.75" hidden="1" thickBot="1" x14ac:dyDescent="0.3">
      <c r="A43" t="s">
        <v>97</v>
      </c>
      <c r="B43" s="17">
        <v>387033022.14999998</v>
      </c>
      <c r="D43" s="29">
        <f>+B43/B44</f>
        <v>0.67595993411730915</v>
      </c>
      <c r="E43" s="17">
        <v>404707556.16000003</v>
      </c>
      <c r="F43" s="29">
        <f>+E43/E44</f>
        <v>0.65754524714326701</v>
      </c>
      <c r="G43" s="17">
        <f>SUM(AS43:AY43)-AV43-AY43</f>
        <v>312716312.51999998</v>
      </c>
      <c r="H43" s="29">
        <f>+G43/G44</f>
        <v>0.60074735404679824</v>
      </c>
      <c r="I43" s="23">
        <f>SUM(AK43:AQ43)-AN43-AQ43</f>
        <v>373720837.31000006</v>
      </c>
      <c r="J43" s="29">
        <f>+I43/I44</f>
        <v>0.68295904662085205</v>
      </c>
      <c r="K43" s="23">
        <f>SUM(AD43:AJ43)-AG43-AJ43</f>
        <v>315233173.90000004</v>
      </c>
      <c r="L43" s="29">
        <f>+K43/K44</f>
        <v>0.52083326719994927</v>
      </c>
      <c r="M43" s="23">
        <f>SUM(X43:AB43)-AA43</f>
        <v>378156661.05000001</v>
      </c>
      <c r="N43" s="29">
        <f>+M43/M44</f>
        <v>0.54192632694922493</v>
      </c>
      <c r="O43" s="23">
        <f>SUM(R43:V43)-U43</f>
        <v>380984637.08000004</v>
      </c>
      <c r="P43" s="29">
        <f>+O43/O44</f>
        <v>0.40446178529538618</v>
      </c>
      <c r="Q43" s="29"/>
      <c r="R43" s="49">
        <v>332336652.35000002</v>
      </c>
      <c r="S43" s="50">
        <v>21948585.02</v>
      </c>
      <c r="T43" s="50">
        <v>23304755.969999999</v>
      </c>
      <c r="U43" s="50">
        <v>144201760.34</v>
      </c>
      <c r="V43" s="50">
        <v>3394643.74</v>
      </c>
      <c r="W43" s="29"/>
      <c r="X43" s="49">
        <v>308873783.92000002</v>
      </c>
      <c r="Y43" s="50">
        <v>12904434.17</v>
      </c>
      <c r="Z43" s="50">
        <v>55253043.149999999</v>
      </c>
      <c r="AA43" s="50">
        <v>103911326.73</v>
      </c>
      <c r="AB43" s="50">
        <v>1125399.81</v>
      </c>
      <c r="AC43" s="29"/>
      <c r="AD43" s="49">
        <v>281978499.27999997</v>
      </c>
      <c r="AE43" s="50">
        <v>11299513.789999999</v>
      </c>
      <c r="AF43" s="50">
        <v>17358187.48</v>
      </c>
      <c r="AG43" s="50">
        <v>87908479.879999995</v>
      </c>
      <c r="AH43" s="50">
        <v>4596973.3499999996</v>
      </c>
      <c r="AI43" s="50"/>
      <c r="AJ43" s="51"/>
      <c r="AK43" s="23">
        <v>351554349.47000003</v>
      </c>
      <c r="AL43" s="23">
        <v>5288531.88</v>
      </c>
      <c r="AM43" s="23">
        <v>16201041.6</v>
      </c>
      <c r="AN43" s="23">
        <v>86689826.319999993</v>
      </c>
      <c r="AO43" s="23">
        <v>676914.36</v>
      </c>
      <c r="AP43" s="23"/>
      <c r="AQ43" s="23"/>
      <c r="AR43" s="29"/>
      <c r="AS43" s="23">
        <v>281946505.63999999</v>
      </c>
      <c r="AT43" s="23">
        <v>10921702.880000001</v>
      </c>
      <c r="AU43" s="23">
        <v>19572846.010000002</v>
      </c>
      <c r="AV43" s="23">
        <v>96444795.659999996</v>
      </c>
      <c r="AW43" s="23">
        <v>275257.99</v>
      </c>
      <c r="AX43" s="23"/>
      <c r="AY43" s="23"/>
    </row>
    <row r="44" spans="1:51" ht="15.75" hidden="1" thickBot="1" x14ac:dyDescent="0.3">
      <c r="A44" t="s">
        <v>98</v>
      </c>
      <c r="B44" s="17">
        <v>572567992</v>
      </c>
      <c r="E44" s="23">
        <v>615482444.62</v>
      </c>
      <c r="F44" s="30"/>
      <c r="G44" s="23">
        <v>520545467.93000001</v>
      </c>
      <c r="H44" s="30"/>
      <c r="I44" s="23">
        <v>547208268.42999995</v>
      </c>
      <c r="J44" s="30"/>
      <c r="K44" s="23">
        <v>605247770.74000001</v>
      </c>
      <c r="L44" s="30"/>
      <c r="M44" s="17">
        <v>697800867.47000003</v>
      </c>
      <c r="N44" s="30"/>
      <c r="O44" s="17">
        <v>941954594.79999995</v>
      </c>
      <c r="P44" s="30"/>
      <c r="Q44" s="30"/>
      <c r="R44" s="30"/>
      <c r="S44" s="30"/>
      <c r="T44" s="30"/>
      <c r="U44" s="30"/>
      <c r="V44" s="30"/>
      <c r="W44" s="30"/>
      <c r="X44" s="49"/>
      <c r="Y44" s="50"/>
      <c r="Z44" s="50"/>
      <c r="AA44" s="50"/>
      <c r="AB44" s="50"/>
      <c r="AC44" s="30"/>
      <c r="AD44" s="49"/>
      <c r="AE44" s="50"/>
      <c r="AF44" s="50"/>
      <c r="AG44" s="50"/>
      <c r="AH44" s="50"/>
      <c r="AI44" s="50"/>
      <c r="AJ44" s="52"/>
      <c r="AK44" s="30"/>
      <c r="AL44" s="30"/>
      <c r="AM44" s="30"/>
      <c r="AN44" s="30"/>
      <c r="AO44" s="30"/>
      <c r="AP44" s="30"/>
      <c r="AQ44" s="30"/>
      <c r="AR44" s="30"/>
      <c r="AS44" s="30"/>
      <c r="AT44" s="30"/>
      <c r="AU44" s="30"/>
      <c r="AV44" s="30"/>
      <c r="AW44" s="30"/>
    </row>
    <row r="45" spans="1:51" ht="15.75" hidden="1" thickBot="1" x14ac:dyDescent="0.3">
      <c r="A45" s="8" t="s">
        <v>18</v>
      </c>
      <c r="E45" s="30"/>
      <c r="F45" s="30"/>
      <c r="G45" s="30"/>
      <c r="H45" s="30"/>
      <c r="I45" s="30"/>
      <c r="J45" s="30"/>
      <c r="K45" s="30"/>
      <c r="L45" s="30"/>
      <c r="M45" s="30"/>
      <c r="N45" s="30"/>
      <c r="O45" s="30"/>
      <c r="P45" s="30"/>
      <c r="Q45" s="30"/>
      <c r="R45" s="30"/>
      <c r="S45" s="30"/>
      <c r="T45" s="30"/>
      <c r="U45" s="30"/>
      <c r="V45" s="30"/>
      <c r="W45" s="30"/>
      <c r="X45" s="49"/>
      <c r="Y45" s="50"/>
      <c r="Z45" s="50"/>
      <c r="AA45" s="50"/>
      <c r="AB45" s="50"/>
      <c r="AC45" s="30"/>
      <c r="AD45" s="49"/>
      <c r="AE45" s="50"/>
      <c r="AF45" s="50"/>
      <c r="AG45" s="50"/>
      <c r="AH45" s="50"/>
      <c r="AI45" s="50"/>
      <c r="AJ45" s="52"/>
      <c r="AK45" s="30"/>
      <c r="AL45" s="30"/>
      <c r="AM45" s="30"/>
      <c r="AN45" s="30"/>
      <c r="AO45" s="30"/>
      <c r="AP45" s="30"/>
      <c r="AQ45" s="30"/>
      <c r="AR45" s="30"/>
      <c r="AS45" s="30"/>
      <c r="AT45" s="30"/>
      <c r="AU45" s="30"/>
      <c r="AV45" s="30"/>
      <c r="AW45" s="30"/>
    </row>
    <row r="46" spans="1:51" ht="15.75" hidden="1" thickBot="1" x14ac:dyDescent="0.3">
      <c r="A46" t="s">
        <v>97</v>
      </c>
      <c r="D46" s="29">
        <f>+B46/B47</f>
        <v>0</v>
      </c>
      <c r="E46" s="17">
        <v>598704816.67999995</v>
      </c>
      <c r="F46" s="29">
        <f>+E46/E47</f>
        <v>0.95377882246605394</v>
      </c>
      <c r="G46" s="17">
        <f>SUM(AS46:AY46)-AV46-AY46</f>
        <v>405708896.71999991</v>
      </c>
      <c r="H46" s="29">
        <f>+G46/G47</f>
        <v>0.72292924305941741</v>
      </c>
      <c r="I46" s="23">
        <f>SUM(AK46:AQ46)-AN46-AQ46</f>
        <v>476727830.29000002</v>
      </c>
      <c r="J46" s="29">
        <f>+I46/I47</f>
        <v>0.82291294154298689</v>
      </c>
      <c r="K46" s="23">
        <f>SUM(AD46:AJ46)-AG46-AJ46</f>
        <v>564195399.73000002</v>
      </c>
      <c r="L46" s="29">
        <f>+K46/K47</f>
        <v>0.796509124108018</v>
      </c>
      <c r="M46" s="23">
        <f>SUM(X46:AB46)-AA46</f>
        <v>606990367.22000003</v>
      </c>
      <c r="N46" s="29">
        <f>+M46/M47</f>
        <v>0.71132188295067067</v>
      </c>
      <c r="O46" s="29"/>
      <c r="P46" s="29"/>
      <c r="Q46" s="29"/>
      <c r="R46" s="29"/>
      <c r="S46" s="29"/>
      <c r="T46" s="29"/>
      <c r="U46" s="29"/>
      <c r="V46" s="29"/>
      <c r="W46" s="29"/>
      <c r="X46" s="49">
        <v>509467644.5</v>
      </c>
      <c r="Y46" s="50">
        <v>20845603.77</v>
      </c>
      <c r="Z46" s="50">
        <v>67120311.709999993</v>
      </c>
      <c r="AA46" s="50">
        <v>196336912.27000001</v>
      </c>
      <c r="AB46" s="50">
        <v>9556807.2400000002</v>
      </c>
      <c r="AC46" s="29"/>
      <c r="AD46" s="49">
        <v>484139840.63</v>
      </c>
      <c r="AE46" s="50">
        <v>16588336.609999999</v>
      </c>
      <c r="AF46" s="50">
        <v>46101450.960000001</v>
      </c>
      <c r="AG46" s="50">
        <v>140126274.74000001</v>
      </c>
      <c r="AH46" s="50">
        <v>17365771.530000001</v>
      </c>
      <c r="AI46" s="50"/>
      <c r="AJ46" s="51"/>
      <c r="AK46" s="23">
        <v>436197567.41000003</v>
      </c>
      <c r="AL46" s="23">
        <v>6844328.6100000003</v>
      </c>
      <c r="AM46" s="23">
        <v>20905515.629999999</v>
      </c>
      <c r="AN46" s="23">
        <v>106576553.93000001</v>
      </c>
      <c r="AO46" s="23">
        <v>8766955.8800000008</v>
      </c>
      <c r="AP46" s="23">
        <v>4013462.76</v>
      </c>
      <c r="AQ46" s="23"/>
      <c r="AR46" s="29"/>
      <c r="AS46" s="23">
        <v>368901807.02999997</v>
      </c>
      <c r="AT46" s="23">
        <v>12663121.52</v>
      </c>
      <c r="AU46" s="23">
        <v>23699742.25</v>
      </c>
      <c r="AV46" s="23">
        <v>155492493.90000001</v>
      </c>
      <c r="AW46" s="23">
        <v>444225.92</v>
      </c>
      <c r="AX46" s="23"/>
      <c r="AY46" s="23"/>
    </row>
    <row r="47" spans="1:51" ht="15.75" hidden="1" thickBot="1" x14ac:dyDescent="0.3">
      <c r="A47" t="s">
        <v>98</v>
      </c>
      <c r="B47" s="17">
        <v>573789916.65999997</v>
      </c>
      <c r="E47" s="23">
        <v>627718714.84000003</v>
      </c>
      <c r="F47" s="30"/>
      <c r="G47" s="23">
        <v>561201390.88999999</v>
      </c>
      <c r="H47" s="30"/>
      <c r="I47" s="23">
        <v>579317454.15999997</v>
      </c>
      <c r="J47" s="30"/>
      <c r="K47" s="23">
        <v>708335137.23000002</v>
      </c>
      <c r="L47" s="30"/>
      <c r="M47" s="17">
        <v>853327279.49000001</v>
      </c>
      <c r="N47" s="30"/>
      <c r="O47" s="30"/>
      <c r="P47" s="30"/>
      <c r="Q47" s="30"/>
      <c r="R47" s="30"/>
      <c r="S47" s="30"/>
      <c r="T47" s="30"/>
      <c r="U47" s="30"/>
      <c r="V47" s="30"/>
      <c r="W47" s="30"/>
      <c r="X47" s="30"/>
      <c r="Y47" s="30"/>
      <c r="Z47" s="30"/>
      <c r="AA47" s="30"/>
      <c r="AB47" s="30"/>
      <c r="AC47" s="30"/>
      <c r="AD47" s="53"/>
      <c r="AE47" s="54"/>
      <c r="AF47" s="54"/>
      <c r="AG47" s="54"/>
      <c r="AH47" s="54"/>
      <c r="AI47" s="54"/>
      <c r="AJ47" s="55"/>
      <c r="AK47" s="30"/>
      <c r="AL47" s="30"/>
      <c r="AM47" s="30"/>
      <c r="AN47" s="30"/>
      <c r="AO47" s="30"/>
      <c r="AP47" s="30"/>
      <c r="AQ47" s="30"/>
      <c r="AR47" s="30"/>
      <c r="AS47" s="30"/>
      <c r="AT47" s="30"/>
      <c r="AU47" s="30"/>
      <c r="AV47" s="30"/>
      <c r="AW47" s="30"/>
    </row>
    <row r="48" spans="1:51" hidden="1" x14ac:dyDescent="0.25"/>
    <row r="49" spans="1:44" hidden="1" x14ac:dyDescent="0.25">
      <c r="A49" t="s">
        <v>109</v>
      </c>
    </row>
    <row r="50" spans="1:44" hidden="1" x14ac:dyDescent="0.25">
      <c r="A50" t="s">
        <v>106</v>
      </c>
    </row>
    <row r="51" spans="1:44" hidden="1" x14ac:dyDescent="0.25">
      <c r="A51" s="106" t="s">
        <v>107</v>
      </c>
      <c r="B51" s="107"/>
      <c r="C51" s="107"/>
      <c r="D51" s="107"/>
      <c r="E51" s="107"/>
      <c r="F51" s="107"/>
      <c r="G51" s="107"/>
      <c r="H51" s="107"/>
      <c r="I51" s="36"/>
      <c r="J51" s="36"/>
      <c r="K51" s="43"/>
      <c r="L51" s="43"/>
      <c r="M51" s="66"/>
      <c r="N51" s="66"/>
      <c r="O51" s="66"/>
      <c r="P51" s="71"/>
      <c r="Q51" s="71"/>
      <c r="R51" s="71"/>
      <c r="S51" s="71"/>
      <c r="T51" s="71"/>
      <c r="U51" s="71"/>
      <c r="V51" s="71"/>
      <c r="W51" s="71"/>
      <c r="X51" s="66"/>
      <c r="Y51" s="66"/>
      <c r="Z51" s="66"/>
      <c r="AA51" s="66"/>
      <c r="AB51" s="66"/>
      <c r="AC51" s="66"/>
      <c r="AD51" s="43"/>
      <c r="AE51" s="43"/>
      <c r="AF51" s="43"/>
      <c r="AG51" s="43"/>
      <c r="AH51" s="43"/>
      <c r="AI51" s="61"/>
      <c r="AJ51" s="43"/>
      <c r="AK51" s="36"/>
      <c r="AL51" s="36"/>
      <c r="AM51" s="36"/>
      <c r="AN51" s="36"/>
      <c r="AO51" s="36"/>
      <c r="AP51" s="36"/>
      <c r="AQ51" s="36"/>
      <c r="AR51" s="36"/>
    </row>
    <row r="52" spans="1:44" hidden="1" x14ac:dyDescent="0.25">
      <c r="A52" s="107"/>
      <c r="B52" s="107"/>
      <c r="C52" s="107"/>
      <c r="D52" s="107"/>
      <c r="E52" s="107"/>
      <c r="F52" s="107"/>
      <c r="G52" s="107"/>
      <c r="H52" s="107"/>
      <c r="I52" s="36"/>
      <c r="J52" s="36"/>
      <c r="K52" s="43"/>
      <c r="L52" s="43"/>
      <c r="M52" s="66"/>
      <c r="N52" s="66"/>
      <c r="O52" s="66"/>
      <c r="P52" s="71"/>
      <c r="Q52" s="71"/>
      <c r="R52" s="71"/>
      <c r="S52" s="71"/>
      <c r="T52" s="71"/>
      <c r="U52" s="71"/>
      <c r="V52" s="71"/>
      <c r="W52" s="71"/>
      <c r="X52" s="66"/>
      <c r="Y52" s="66"/>
      <c r="Z52" s="66"/>
      <c r="AA52" s="66"/>
      <c r="AB52" s="66"/>
      <c r="AC52" s="66"/>
      <c r="AD52" s="43"/>
      <c r="AE52" s="43"/>
      <c r="AF52" s="43"/>
      <c r="AG52" s="43"/>
      <c r="AH52" s="43"/>
      <c r="AI52" s="61"/>
      <c r="AJ52" s="43"/>
      <c r="AK52" s="36"/>
      <c r="AL52" s="36"/>
      <c r="AM52" s="36"/>
      <c r="AN52" s="36"/>
      <c r="AO52" s="36"/>
      <c r="AP52" s="36"/>
      <c r="AQ52" s="36"/>
      <c r="AR52" s="36"/>
    </row>
    <row r="53" spans="1:44" hidden="1" x14ac:dyDescent="0.25">
      <c r="A53" s="26" t="s">
        <v>108</v>
      </c>
    </row>
    <row r="54" spans="1:44" hidden="1" x14ac:dyDescent="0.25">
      <c r="A54" s="26" t="s">
        <v>110</v>
      </c>
    </row>
    <row r="55" spans="1:44" hidden="1" x14ac:dyDescent="0.25"/>
    <row r="56" spans="1:44" hidden="1" x14ac:dyDescent="0.25"/>
    <row r="57" spans="1:44" hidden="1" x14ac:dyDescent="0.25"/>
    <row r="58" spans="1:44" hidden="1" x14ac:dyDescent="0.25"/>
    <row r="59" spans="1:44" hidden="1" x14ac:dyDescent="0.25">
      <c r="E59" t="s">
        <v>115</v>
      </c>
      <c r="G59" t="s">
        <v>114</v>
      </c>
    </row>
    <row r="60" spans="1:44" hidden="1" x14ac:dyDescent="0.25">
      <c r="E60" s="23">
        <v>615482444.62</v>
      </c>
      <c r="F60" s="23"/>
      <c r="G60" s="23">
        <v>615482444.62</v>
      </c>
    </row>
    <row r="61" spans="1:44" hidden="1" x14ac:dyDescent="0.25">
      <c r="E61" s="23">
        <v>614804287.29999995</v>
      </c>
      <c r="F61" s="23"/>
      <c r="G61" s="23">
        <v>601889858.20000005</v>
      </c>
    </row>
    <row r="62" spans="1:44" hidden="1" x14ac:dyDescent="0.25">
      <c r="E62" s="23">
        <f>+E60-E61</f>
        <v>678157.32000005245</v>
      </c>
      <c r="F62" s="23"/>
      <c r="G62" s="23">
        <f>+G60-G61</f>
        <v>13592586.419999957</v>
      </c>
    </row>
    <row r="63" spans="1:44" hidden="1" x14ac:dyDescent="0.25"/>
  </sheetData>
  <mergeCells count="54">
    <mergeCell ref="D2:H2"/>
    <mergeCell ref="D3:H3"/>
    <mergeCell ref="I36:J36"/>
    <mergeCell ref="AS35:AY35"/>
    <mergeCell ref="AK35:AQ35"/>
    <mergeCell ref="E36:F36"/>
    <mergeCell ref="G36:H36"/>
    <mergeCell ref="K36:L36"/>
    <mergeCell ref="AD35:AJ35"/>
    <mergeCell ref="M36:N36"/>
    <mergeCell ref="X35:AB35"/>
    <mergeCell ref="R35:V35"/>
    <mergeCell ref="O36:P36"/>
    <mergeCell ref="A51:H52"/>
    <mergeCell ref="B36:D36"/>
    <mergeCell ref="B12:C12"/>
    <mergeCell ref="D12:H12"/>
    <mergeCell ref="C26:D26"/>
    <mergeCell ref="B13:C14"/>
    <mergeCell ref="B18:C18"/>
    <mergeCell ref="B19:C19"/>
    <mergeCell ref="B20:C20"/>
    <mergeCell ref="B21:C21"/>
    <mergeCell ref="D21:H21"/>
    <mergeCell ref="B22:C22"/>
    <mergeCell ref="D22:H22"/>
    <mergeCell ref="B23:C23"/>
    <mergeCell ref="B24:C24"/>
    <mergeCell ref="B25:H25"/>
    <mergeCell ref="B4:H4"/>
    <mergeCell ref="B5:H5"/>
    <mergeCell ref="B6:H6"/>
    <mergeCell ref="B7:C7"/>
    <mergeCell ref="B8:C8"/>
    <mergeCell ref="D8:H8"/>
    <mergeCell ref="B9:C9"/>
    <mergeCell ref="F9:H9"/>
    <mergeCell ref="B10:C10"/>
    <mergeCell ref="D10:H10"/>
    <mergeCell ref="B11:C11"/>
    <mergeCell ref="B17:C17"/>
    <mergeCell ref="B16:C16"/>
    <mergeCell ref="B15:C15"/>
    <mergeCell ref="B34:H34"/>
    <mergeCell ref="B29:C29"/>
    <mergeCell ref="B30:C30"/>
    <mergeCell ref="B31:H31"/>
    <mergeCell ref="B32:B33"/>
    <mergeCell ref="C32:D32"/>
    <mergeCell ref="C33:D33"/>
    <mergeCell ref="B27:H27"/>
    <mergeCell ref="C28:H28"/>
    <mergeCell ref="F29:H29"/>
    <mergeCell ref="F30:H3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8"/>
  <sheetViews>
    <sheetView workbookViewId="0">
      <selection activeCell="D17" sqref="D17"/>
    </sheetView>
  </sheetViews>
  <sheetFormatPr baseColWidth="10" defaultRowHeight="15" x14ac:dyDescent="0.25"/>
  <cols>
    <col min="1" max="1" width="5.42578125" customWidth="1"/>
    <col min="2" max="2" width="15.140625" bestFit="1" customWidth="1"/>
    <col min="4" max="4" width="12.85546875" bestFit="1" customWidth="1"/>
    <col min="6" max="6" width="12.85546875" bestFit="1" customWidth="1"/>
    <col min="8" max="8" width="12.85546875" bestFit="1" customWidth="1"/>
    <col min="10" max="10" width="12.85546875" bestFit="1" customWidth="1"/>
    <col min="12" max="12" width="12.85546875" bestFit="1" customWidth="1"/>
    <col min="14" max="14" width="12.85546875" bestFit="1" customWidth="1"/>
  </cols>
  <sheetData>
    <row r="1" spans="2:7" x14ac:dyDescent="0.25">
      <c r="C1" s="73" t="s">
        <v>117</v>
      </c>
      <c r="D1" s="73"/>
      <c r="E1" s="73"/>
      <c r="F1" s="73"/>
      <c r="G1" s="73"/>
    </row>
    <row r="2" spans="2:7" x14ac:dyDescent="0.25">
      <c r="C2" s="73" t="s">
        <v>118</v>
      </c>
      <c r="D2" s="73"/>
      <c r="E2" s="73"/>
      <c r="F2" s="73"/>
      <c r="G2" s="73"/>
    </row>
    <row r="4" spans="2:7" x14ac:dyDescent="0.25">
      <c r="B4" s="87" t="s">
        <v>0</v>
      </c>
      <c r="C4" s="87"/>
      <c r="D4" s="87"/>
      <c r="E4" s="87"/>
      <c r="F4" s="87"/>
      <c r="G4" s="87"/>
    </row>
    <row r="5" spans="2:7" x14ac:dyDescent="0.25">
      <c r="B5" s="82" t="s">
        <v>1</v>
      </c>
      <c r="C5" s="82"/>
      <c r="D5" s="82"/>
      <c r="E5" s="82"/>
      <c r="F5" s="82"/>
      <c r="G5" s="82"/>
    </row>
    <row r="6" spans="2:7" ht="15.75" thickBot="1" x14ac:dyDescent="0.3">
      <c r="B6" s="1"/>
      <c r="C6" s="1"/>
      <c r="D6" s="1"/>
      <c r="E6" s="1"/>
      <c r="F6" s="1"/>
      <c r="G6" s="1"/>
    </row>
    <row r="7" spans="2:7" ht="15.75" thickBot="1" x14ac:dyDescent="0.3">
      <c r="B7" s="2" t="s">
        <v>2</v>
      </c>
      <c r="C7" s="83" t="s">
        <v>78</v>
      </c>
      <c r="D7" s="84"/>
      <c r="E7" s="84"/>
      <c r="F7" s="84"/>
      <c r="G7" s="85"/>
    </row>
    <row r="8" spans="2:7" ht="25.5" customHeight="1" thickBot="1" x14ac:dyDescent="0.3">
      <c r="B8" s="3" t="s">
        <v>3</v>
      </c>
      <c r="C8" s="4" t="s">
        <v>4</v>
      </c>
      <c r="D8" s="5" t="s">
        <v>5</v>
      </c>
      <c r="E8" s="74" t="s">
        <v>64</v>
      </c>
      <c r="F8" s="75"/>
      <c r="G8" s="76"/>
    </row>
    <row r="9" spans="2:7" ht="22.5" customHeight="1" thickBot="1" x14ac:dyDescent="0.3">
      <c r="B9" s="3" t="s">
        <v>6</v>
      </c>
      <c r="C9" s="74" t="s">
        <v>101</v>
      </c>
      <c r="D9" s="75"/>
      <c r="E9" s="75"/>
      <c r="F9" s="75"/>
      <c r="G9" s="76"/>
    </row>
    <row r="10" spans="2:7" ht="15.75" thickBot="1" x14ac:dyDescent="0.3">
      <c r="B10" s="3" t="s">
        <v>7</v>
      </c>
      <c r="C10" s="6" t="s">
        <v>8</v>
      </c>
      <c r="D10" s="5" t="s">
        <v>9</v>
      </c>
      <c r="E10" s="7" t="s">
        <v>70</v>
      </c>
      <c r="F10" s="5" t="s">
        <v>11</v>
      </c>
      <c r="G10" s="7" t="s">
        <v>79</v>
      </c>
    </row>
    <row r="11" spans="2:7" ht="25.5" customHeight="1" thickBot="1" x14ac:dyDescent="0.3">
      <c r="B11" s="3" t="s">
        <v>13</v>
      </c>
      <c r="C11" s="74" t="s">
        <v>80</v>
      </c>
      <c r="D11" s="75"/>
      <c r="E11" s="75"/>
      <c r="F11" s="75"/>
      <c r="G11" s="76"/>
    </row>
    <row r="12" spans="2:7" ht="15.75" thickBot="1" x14ac:dyDescent="0.3">
      <c r="B12" s="88" t="s">
        <v>14</v>
      </c>
      <c r="C12" s="8" t="s">
        <v>15</v>
      </c>
      <c r="D12" s="8" t="s">
        <v>16</v>
      </c>
      <c r="E12" s="8" t="s">
        <v>17</v>
      </c>
      <c r="F12" s="8" t="s">
        <v>18</v>
      </c>
      <c r="G12" s="8" t="s">
        <v>19</v>
      </c>
    </row>
    <row r="13" spans="2:7" ht="15.75" thickBot="1" x14ac:dyDescent="0.3">
      <c r="B13" s="89"/>
      <c r="C13" s="7">
        <v>21</v>
      </c>
      <c r="D13" s="7">
        <v>42</v>
      </c>
      <c r="E13" s="7">
        <v>63</v>
      </c>
      <c r="F13" s="7">
        <v>83</v>
      </c>
      <c r="G13" s="7">
        <v>83</v>
      </c>
    </row>
    <row r="14" spans="2:7" ht="15.75" thickBot="1" x14ac:dyDescent="0.3">
      <c r="B14" s="3" t="s">
        <v>111</v>
      </c>
      <c r="C14" s="7">
        <v>19</v>
      </c>
      <c r="D14" s="7">
        <v>41</v>
      </c>
      <c r="E14" s="7">
        <v>60</v>
      </c>
      <c r="F14" s="7">
        <v>72</v>
      </c>
      <c r="G14" s="7">
        <v>72</v>
      </c>
    </row>
    <row r="15" spans="2:7" ht="15.75" thickBot="1" x14ac:dyDescent="0.3">
      <c r="B15" s="3" t="s">
        <v>105</v>
      </c>
      <c r="C15" s="6">
        <v>20</v>
      </c>
      <c r="D15" s="7">
        <v>38</v>
      </c>
      <c r="E15" s="7">
        <v>53</v>
      </c>
      <c r="F15" s="7">
        <v>78</v>
      </c>
      <c r="G15" s="7">
        <v>78</v>
      </c>
    </row>
    <row r="16" spans="2:7" ht="15.75" thickBot="1" x14ac:dyDescent="0.3">
      <c r="B16" s="3" t="s">
        <v>104</v>
      </c>
      <c r="C16" s="7">
        <v>20</v>
      </c>
      <c r="D16" s="7">
        <v>39</v>
      </c>
      <c r="E16" s="7">
        <v>56</v>
      </c>
      <c r="F16" s="7">
        <v>85</v>
      </c>
      <c r="G16" s="7">
        <v>85</v>
      </c>
    </row>
    <row r="17" spans="2:7" ht="15.75" thickBot="1" x14ac:dyDescent="0.3">
      <c r="B17" s="3" t="s">
        <v>20</v>
      </c>
      <c r="C17" s="6">
        <v>21</v>
      </c>
      <c r="D17" s="7">
        <v>42</v>
      </c>
      <c r="E17" s="7">
        <v>63</v>
      </c>
      <c r="F17" s="7">
        <v>83</v>
      </c>
      <c r="G17" s="7">
        <v>83</v>
      </c>
    </row>
    <row r="18" spans="2:7" ht="15.75" thickBot="1" x14ac:dyDescent="0.3">
      <c r="B18" s="3" t="s">
        <v>21</v>
      </c>
      <c r="C18" s="6">
        <v>23</v>
      </c>
      <c r="D18" s="7">
        <v>48</v>
      </c>
      <c r="E18" s="7">
        <v>71</v>
      </c>
      <c r="F18" s="7">
        <v>96</v>
      </c>
      <c r="G18" s="7">
        <v>96</v>
      </c>
    </row>
    <row r="19" spans="2:7" ht="26.25" thickBot="1" x14ac:dyDescent="0.3">
      <c r="B19" s="9" t="s">
        <v>22</v>
      </c>
      <c r="C19" s="6" t="s">
        <v>23</v>
      </c>
      <c r="D19" s="10" t="s">
        <v>24</v>
      </c>
      <c r="E19" s="6" t="s">
        <v>72</v>
      </c>
      <c r="F19" s="10" t="s">
        <v>26</v>
      </c>
      <c r="G19" s="6" t="s">
        <v>27</v>
      </c>
    </row>
    <row r="20" spans="2:7" ht="15.75" thickBot="1" x14ac:dyDescent="0.3">
      <c r="B20" s="9" t="s">
        <v>28</v>
      </c>
      <c r="C20" s="90" t="s">
        <v>29</v>
      </c>
      <c r="D20" s="91"/>
      <c r="E20" s="91"/>
      <c r="F20" s="91"/>
      <c r="G20" s="92"/>
    </row>
    <row r="21" spans="2:7" ht="26.25" thickBot="1" x14ac:dyDescent="0.3">
      <c r="B21" s="9" t="s">
        <v>30</v>
      </c>
      <c r="C21" s="74" t="s">
        <v>81</v>
      </c>
      <c r="D21" s="75"/>
      <c r="E21" s="75"/>
      <c r="F21" s="75"/>
      <c r="G21" s="76"/>
    </row>
    <row r="22" spans="2:7" ht="26.25" thickBot="1" x14ac:dyDescent="0.3">
      <c r="B22" s="9" t="s">
        <v>31</v>
      </c>
      <c r="C22" s="11" t="s">
        <v>82</v>
      </c>
      <c r="D22" s="10" t="s">
        <v>24</v>
      </c>
      <c r="E22" s="6" t="s">
        <v>75</v>
      </c>
      <c r="F22" s="10" t="s">
        <v>32</v>
      </c>
      <c r="G22" s="6" t="s">
        <v>51</v>
      </c>
    </row>
    <row r="23" spans="2:7" ht="26.25" thickBot="1" x14ac:dyDescent="0.3">
      <c r="B23" s="9" t="s">
        <v>33</v>
      </c>
      <c r="C23" s="11" t="s">
        <v>76</v>
      </c>
      <c r="D23" s="10" t="s">
        <v>24</v>
      </c>
      <c r="E23" s="6" t="s">
        <v>75</v>
      </c>
      <c r="F23" s="10" t="s">
        <v>32</v>
      </c>
      <c r="G23" s="6" t="s">
        <v>51</v>
      </c>
    </row>
    <row r="24" spans="2:7" ht="15.75" thickBot="1" x14ac:dyDescent="0.3">
      <c r="B24" s="77" t="s">
        <v>34</v>
      </c>
      <c r="C24" s="78"/>
      <c r="D24" s="78"/>
      <c r="E24" s="78"/>
      <c r="F24" s="78"/>
      <c r="G24" s="79"/>
    </row>
    <row r="25" spans="2:7" ht="15.75" thickBot="1" x14ac:dyDescent="0.3">
      <c r="B25" s="9" t="s">
        <v>35</v>
      </c>
      <c r="C25" s="7">
        <f>+-10%</f>
        <v>-0.1</v>
      </c>
      <c r="D25" s="10" t="s">
        <v>36</v>
      </c>
      <c r="E25" s="7">
        <f>+-20%</f>
        <v>-0.2</v>
      </c>
      <c r="F25" s="10" t="s">
        <v>37</v>
      </c>
      <c r="G25" s="7" t="s">
        <v>38</v>
      </c>
    </row>
    <row r="26" spans="2:7" ht="15.75" thickBot="1" x14ac:dyDescent="0.3">
      <c r="B26" s="77" t="s">
        <v>39</v>
      </c>
      <c r="C26" s="78"/>
      <c r="D26" s="78"/>
      <c r="E26" s="78"/>
      <c r="F26" s="78"/>
      <c r="G26" s="79"/>
    </row>
    <row r="27" spans="2:7" ht="15.75" thickBot="1" x14ac:dyDescent="0.3">
      <c r="B27" s="9" t="s">
        <v>40</v>
      </c>
      <c r="C27" s="74" t="s">
        <v>77</v>
      </c>
      <c r="D27" s="75"/>
      <c r="E27" s="75"/>
      <c r="F27" s="75"/>
      <c r="G27" s="76"/>
    </row>
    <row r="28" spans="2:7" ht="26.25" thickBot="1" x14ac:dyDescent="0.3">
      <c r="B28" s="9" t="s">
        <v>41</v>
      </c>
      <c r="C28" s="12">
        <v>44804</v>
      </c>
      <c r="D28" s="10" t="s">
        <v>42</v>
      </c>
      <c r="E28" s="74" t="s">
        <v>54</v>
      </c>
      <c r="F28" s="75"/>
      <c r="G28" s="76"/>
    </row>
    <row r="29" spans="2:7" ht="26.25" thickBot="1" x14ac:dyDescent="0.3">
      <c r="B29" s="9" t="s">
        <v>43</v>
      </c>
      <c r="C29" s="12">
        <v>45208</v>
      </c>
      <c r="D29" s="10" t="s">
        <v>42</v>
      </c>
      <c r="E29" s="74" t="s">
        <v>54</v>
      </c>
      <c r="F29" s="75"/>
      <c r="G29" s="76"/>
    </row>
    <row r="30" spans="2:7" ht="15.75" thickBot="1" x14ac:dyDescent="0.3">
      <c r="B30" s="77" t="s">
        <v>116</v>
      </c>
      <c r="C30" s="78"/>
      <c r="D30" s="78"/>
      <c r="E30" s="78"/>
      <c r="F30" s="78"/>
      <c r="G30" s="79"/>
    </row>
    <row r="31" spans="2:7" ht="15.75" thickBot="1" x14ac:dyDescent="0.3">
      <c r="B31" s="80" t="s">
        <v>44</v>
      </c>
      <c r="C31" s="8" t="s">
        <v>15</v>
      </c>
      <c r="D31" s="8" t="s">
        <v>16</v>
      </c>
      <c r="E31" s="8" t="s">
        <v>17</v>
      </c>
      <c r="F31" s="8" t="s">
        <v>18</v>
      </c>
      <c r="G31" s="8" t="s">
        <v>19</v>
      </c>
    </row>
    <row r="32" spans="2:7" ht="15.75" thickBot="1" x14ac:dyDescent="0.3">
      <c r="B32" s="81"/>
      <c r="C32" s="6">
        <v>14</v>
      </c>
      <c r="D32" s="7">
        <v>29</v>
      </c>
      <c r="E32" s="7">
        <v>40</v>
      </c>
      <c r="F32" s="7"/>
      <c r="G32" s="7"/>
    </row>
    <row r="33" spans="1:15" hidden="1" x14ac:dyDescent="0.25">
      <c r="B33" s="96" t="s">
        <v>91</v>
      </c>
      <c r="C33" s="96"/>
      <c r="D33" s="96"/>
      <c r="E33" s="96"/>
      <c r="F33" s="96"/>
      <c r="G33" s="96"/>
    </row>
    <row r="34" spans="1:15" ht="15" hidden="1" customHeight="1" x14ac:dyDescent="0.25">
      <c r="B34" s="96"/>
      <c r="C34" s="96"/>
      <c r="D34" s="96"/>
      <c r="E34" s="96"/>
      <c r="F34" s="96"/>
      <c r="G34" s="96"/>
      <c r="H34" s="38"/>
    </row>
    <row r="35" spans="1:15" ht="15.75" hidden="1" thickBot="1" x14ac:dyDescent="0.3">
      <c r="A35" s="8" t="s">
        <v>15</v>
      </c>
      <c r="B35" s="93">
        <v>2017</v>
      </c>
      <c r="C35" s="93"/>
      <c r="D35" s="93">
        <v>2018</v>
      </c>
      <c r="E35" s="93"/>
      <c r="F35">
        <v>2019</v>
      </c>
      <c r="H35">
        <v>2020</v>
      </c>
      <c r="J35">
        <v>2021</v>
      </c>
      <c r="L35">
        <v>2022</v>
      </c>
      <c r="N35">
        <v>2023</v>
      </c>
    </row>
    <row r="36" spans="1:15" hidden="1" x14ac:dyDescent="0.25">
      <c r="A36" s="19" t="s">
        <v>92</v>
      </c>
      <c r="B36" s="23">
        <v>103662300.34</v>
      </c>
      <c r="D36" s="23">
        <v>94851803.010000005</v>
      </c>
      <c r="F36" s="23">
        <v>98671615.150000006</v>
      </c>
      <c r="H36" s="23">
        <v>170386929.38999999</v>
      </c>
      <c r="J36" s="23">
        <v>101029918.45</v>
      </c>
      <c r="L36" s="23">
        <v>94475900.890000001</v>
      </c>
      <c r="N36" s="23">
        <v>105393774.81999999</v>
      </c>
    </row>
    <row r="37" spans="1:15" hidden="1" x14ac:dyDescent="0.25">
      <c r="A37" s="19" t="s">
        <v>93</v>
      </c>
      <c r="B37" s="23">
        <v>5637222.0300000003</v>
      </c>
      <c r="D37" s="23">
        <v>3194205.43</v>
      </c>
      <c r="F37" s="23">
        <v>4229025.7300000004</v>
      </c>
      <c r="H37" s="23">
        <v>2270797.13</v>
      </c>
      <c r="J37" s="23">
        <v>3091095.12</v>
      </c>
      <c r="L37" s="23">
        <v>4242389.8499999996</v>
      </c>
      <c r="N37" s="23">
        <v>7949654.3499999996</v>
      </c>
    </row>
    <row r="38" spans="1:15" hidden="1" x14ac:dyDescent="0.25">
      <c r="A38" s="19" t="s">
        <v>94</v>
      </c>
      <c r="B38" s="23">
        <v>5252391.71</v>
      </c>
      <c r="D38" s="23">
        <v>19932190.829999998</v>
      </c>
      <c r="F38" s="23">
        <v>7325001.7300000004</v>
      </c>
      <c r="H38" s="23">
        <v>6797026.9800000004</v>
      </c>
      <c r="J38" s="23">
        <v>3410727.76</v>
      </c>
      <c r="L38" s="23">
        <v>9044729.8399999999</v>
      </c>
      <c r="N38" s="23">
        <v>6398136.3300000001</v>
      </c>
    </row>
    <row r="39" spans="1:15" ht="15.75" hidden="1" thickBot="1" x14ac:dyDescent="0.3">
      <c r="A39" s="19" t="s">
        <v>95</v>
      </c>
      <c r="B39" s="25">
        <f>SUM(B36:B38)</f>
        <v>114551914.08</v>
      </c>
      <c r="C39" s="15">
        <f>+B39/B40</f>
        <v>0.20116732291133435</v>
      </c>
      <c r="D39" s="25">
        <f>SUM(D36:D38)</f>
        <v>117978199.27000001</v>
      </c>
      <c r="E39" s="15">
        <f>+D39/D40</f>
        <v>0.19864729209974027</v>
      </c>
      <c r="F39" s="25">
        <f>SUM(F36:F38)</f>
        <v>110225642.61000001</v>
      </c>
      <c r="G39" s="15">
        <f>+F39/F40</f>
        <v>0.18729690296448803</v>
      </c>
      <c r="H39" s="25">
        <f>SUM(H36:H38)</f>
        <v>179454753.49999997</v>
      </c>
      <c r="I39" s="15">
        <f>+H39/H40</f>
        <v>0.34131404189242698</v>
      </c>
      <c r="J39" s="25">
        <f>SUM(J36:J38)</f>
        <v>107531741.33000001</v>
      </c>
      <c r="K39" s="57">
        <f>+J39/J40</f>
        <v>0.19363444609393732</v>
      </c>
      <c r="L39" s="25">
        <f>SUM(L36:L38)</f>
        <v>107763020.58</v>
      </c>
      <c r="M39" s="57">
        <f>+L39/L40</f>
        <v>0.18997256851777167</v>
      </c>
      <c r="N39" s="25">
        <f>SUM(N36:N38)</f>
        <v>119741565.49999999</v>
      </c>
      <c r="O39" s="57">
        <f>+N39/N40</f>
        <v>0.13952521495226233</v>
      </c>
    </row>
    <row r="40" spans="1:15" ht="15.75" hidden="1" thickBot="1" x14ac:dyDescent="0.3">
      <c r="A40" s="24" t="s">
        <v>96</v>
      </c>
      <c r="B40" s="17">
        <v>569435992</v>
      </c>
      <c r="D40" s="17">
        <v>593907916</v>
      </c>
      <c r="F40" s="17">
        <v>588507556</v>
      </c>
      <c r="H40" s="17">
        <v>525776063.89999998</v>
      </c>
      <c r="J40" s="17">
        <v>555333740.97000003</v>
      </c>
      <c r="L40" s="17">
        <v>567255690.75999999</v>
      </c>
      <c r="N40" s="17">
        <v>858207353.71000004</v>
      </c>
    </row>
    <row r="41" spans="1:15" ht="15.75" hidden="1" thickBot="1" x14ac:dyDescent="0.3">
      <c r="A41" s="8" t="s">
        <v>16</v>
      </c>
    </row>
    <row r="42" spans="1:15" hidden="1" x14ac:dyDescent="0.25">
      <c r="A42" s="19" t="s">
        <v>92</v>
      </c>
      <c r="B42" s="23">
        <v>204823202.78</v>
      </c>
      <c r="D42" s="23">
        <v>193230433.59</v>
      </c>
      <c r="F42" s="23">
        <v>192057099.00999999</v>
      </c>
      <c r="H42" s="23">
        <v>259980153.12</v>
      </c>
      <c r="J42" s="23">
        <v>189119098.19</v>
      </c>
      <c r="L42" s="23">
        <v>199015537.97</v>
      </c>
      <c r="N42" s="23">
        <v>218665471.16999999</v>
      </c>
    </row>
    <row r="43" spans="1:15" hidden="1" x14ac:dyDescent="0.25">
      <c r="A43" s="19" t="s">
        <v>93</v>
      </c>
      <c r="B43" s="23">
        <v>7229254.29</v>
      </c>
      <c r="D43" s="23">
        <v>9425969.9000000004</v>
      </c>
      <c r="F43" s="23">
        <v>8587064.8599999994</v>
      </c>
      <c r="H43" s="23">
        <v>2966212.34</v>
      </c>
      <c r="J43" s="23">
        <v>6331635.96</v>
      </c>
      <c r="L43" s="23">
        <v>7939091.4900000002</v>
      </c>
      <c r="N43" s="23">
        <v>18320066.59</v>
      </c>
    </row>
    <row r="44" spans="1:15" hidden="1" x14ac:dyDescent="0.25">
      <c r="A44" s="19" t="s">
        <v>94</v>
      </c>
      <c r="B44" s="23">
        <v>10636823.24</v>
      </c>
      <c r="D44" s="23">
        <v>24996711.41</v>
      </c>
      <c r="F44" s="23">
        <v>13390168.77</v>
      </c>
      <c r="H44" s="23">
        <v>11637367.439999999</v>
      </c>
      <c r="J44" s="23">
        <v>8974400.3399999999</v>
      </c>
      <c r="L44" s="23">
        <v>47959360.780000001</v>
      </c>
      <c r="N44" s="23">
        <v>15281970.810000001</v>
      </c>
    </row>
    <row r="45" spans="1:15" ht="15.75" hidden="1" thickBot="1" x14ac:dyDescent="0.3">
      <c r="A45" s="19" t="s">
        <v>95</v>
      </c>
      <c r="B45" s="25">
        <f>SUM(B42:B44)</f>
        <v>222689280.31</v>
      </c>
      <c r="C45" s="15">
        <f>+B45/B46</f>
        <v>0.39106990678242903</v>
      </c>
      <c r="D45" s="25">
        <f>SUM(D42:D44)</f>
        <v>227653114.90000001</v>
      </c>
      <c r="E45" s="15">
        <f>+D45/D46</f>
        <v>0.36987751135705171</v>
      </c>
      <c r="F45" s="25">
        <f>SUM(F42:F44)</f>
        <v>214034332.64000002</v>
      </c>
      <c r="G45" s="15">
        <f>+F45/F46</f>
        <v>0.41331053955338681</v>
      </c>
      <c r="H45" s="25">
        <f>SUM(H42:H44)</f>
        <v>274583732.90000004</v>
      </c>
      <c r="I45" s="15">
        <f>+H45/H46</f>
        <v>0.52056377544273291</v>
      </c>
      <c r="J45" s="25">
        <f>SUM(J42:J44)</f>
        <v>204425134.49000001</v>
      </c>
      <c r="K45" s="15">
        <f>+J45/J46</f>
        <v>0.34476442803095142</v>
      </c>
      <c r="L45" s="25">
        <f>SUM(L42:L44)</f>
        <v>254913990.24000001</v>
      </c>
      <c r="M45" s="15">
        <f>+L45/L46</f>
        <v>0.40878037464892786</v>
      </c>
      <c r="N45" s="25">
        <f>SUM(N42:N44)</f>
        <v>252267508.56999999</v>
      </c>
      <c r="O45" s="57">
        <f>+N45/N46</f>
        <v>0.29340471303210164</v>
      </c>
    </row>
    <row r="46" spans="1:15" ht="15.75" hidden="1" thickBot="1" x14ac:dyDescent="0.3">
      <c r="A46" s="24" t="s">
        <v>96</v>
      </c>
      <c r="B46" s="17">
        <v>569435992</v>
      </c>
      <c r="D46" s="17">
        <v>615482444.62</v>
      </c>
      <c r="F46" s="17">
        <v>517853556</v>
      </c>
      <c r="H46" s="17">
        <v>527473761.81999999</v>
      </c>
      <c r="J46" s="17">
        <v>592941492.41999996</v>
      </c>
      <c r="L46" s="17">
        <v>623596449.46000004</v>
      </c>
      <c r="N46" s="17">
        <v>859793648.03999996</v>
      </c>
    </row>
    <row r="47" spans="1:15" ht="15.75" hidden="1" thickBot="1" x14ac:dyDescent="0.3">
      <c r="A47" s="8" t="s">
        <v>17</v>
      </c>
    </row>
    <row r="48" spans="1:15" hidden="1" x14ac:dyDescent="0.25">
      <c r="A48" s="19" t="s">
        <v>92</v>
      </c>
      <c r="B48" s="23">
        <v>291076257.98000002</v>
      </c>
      <c r="D48" s="23">
        <v>285709361.10000002</v>
      </c>
      <c r="F48" s="23">
        <v>281946505.63999999</v>
      </c>
      <c r="H48" s="23">
        <v>351554349.47000003</v>
      </c>
      <c r="J48" s="23">
        <v>281978499.27999997</v>
      </c>
      <c r="L48" s="23">
        <v>308873783.92000002</v>
      </c>
      <c r="N48" s="23">
        <v>332336652.35000002</v>
      </c>
    </row>
    <row r="49" spans="1:15" hidden="1" x14ac:dyDescent="0.25">
      <c r="A49" s="19" t="s">
        <v>93</v>
      </c>
      <c r="B49" s="23">
        <v>10565957.68</v>
      </c>
      <c r="D49" s="23">
        <v>11656596.33</v>
      </c>
      <c r="F49" s="23">
        <v>10921702.880000001</v>
      </c>
      <c r="H49" s="23">
        <v>5288531.88</v>
      </c>
      <c r="J49" s="23">
        <v>11299513.789999999</v>
      </c>
      <c r="L49" s="23">
        <v>12904434.17</v>
      </c>
      <c r="N49" s="23">
        <v>21948585.02</v>
      </c>
    </row>
    <row r="50" spans="1:15" hidden="1" x14ac:dyDescent="0.25">
      <c r="A50" s="19" t="s">
        <v>94</v>
      </c>
      <c r="B50" s="23">
        <v>21092711.359999999</v>
      </c>
      <c r="D50" s="23">
        <v>30203335.760000002</v>
      </c>
      <c r="F50" s="23">
        <v>19572846.010000002</v>
      </c>
      <c r="H50" s="23">
        <v>16201041.6</v>
      </c>
      <c r="J50" s="23">
        <v>17358187.48</v>
      </c>
      <c r="L50" s="23">
        <v>55253043.149999999</v>
      </c>
      <c r="N50" s="23">
        <v>23304755.969999999</v>
      </c>
    </row>
    <row r="51" spans="1:15" ht="15.75" hidden="1" thickBot="1" x14ac:dyDescent="0.3">
      <c r="A51" s="19" t="s">
        <v>95</v>
      </c>
      <c r="B51" s="25">
        <f>SUM(B48:B50)</f>
        <v>322734927.02000004</v>
      </c>
      <c r="C51" s="15">
        <f>+B51/B52</f>
        <v>0.56366218777384969</v>
      </c>
      <c r="D51" s="25">
        <f>SUM(D48:D50)</f>
        <v>327569293.19</v>
      </c>
      <c r="E51" s="15">
        <f>+D51/D52</f>
        <v>0.53221549380216993</v>
      </c>
      <c r="F51" s="25">
        <f>SUM(F48:F50)</f>
        <v>312441054.52999997</v>
      </c>
      <c r="G51" s="15">
        <f>+F51/F52</f>
        <v>0.60021856644425775</v>
      </c>
      <c r="H51" s="25">
        <f>SUM(H48:H50)</f>
        <v>373043922.95000005</v>
      </c>
      <c r="I51" s="15">
        <f>+H51/H52</f>
        <v>0.68172201421645851</v>
      </c>
      <c r="J51" s="25">
        <f>SUM(J48:J50)</f>
        <v>310636200.55000001</v>
      </c>
      <c r="K51" s="15">
        <f>+J51/J52</f>
        <v>0.51323807466519678</v>
      </c>
      <c r="L51" s="25">
        <f>SUM(L48:L50)</f>
        <v>377031261.24000001</v>
      </c>
      <c r="M51" s="15">
        <f>+L51/L52</f>
        <v>0.54031354619405003</v>
      </c>
      <c r="N51" s="25">
        <f>SUM(N48:N50)</f>
        <v>377589993.34000003</v>
      </c>
      <c r="O51" s="57">
        <f>+N51/N52</f>
        <v>0.4008579558127976</v>
      </c>
    </row>
    <row r="52" spans="1:15" ht="15.75" hidden="1" thickBot="1" x14ac:dyDescent="0.3">
      <c r="A52" s="24" t="s">
        <v>96</v>
      </c>
      <c r="B52" s="17">
        <v>572567992</v>
      </c>
      <c r="D52" s="17">
        <v>615482444.62</v>
      </c>
      <c r="F52" s="17">
        <v>520545467.93000001</v>
      </c>
      <c r="H52" s="17">
        <v>547208268.42999995</v>
      </c>
      <c r="J52" s="17">
        <v>605247770.74000001</v>
      </c>
      <c r="L52" s="17">
        <v>697800867.47000003</v>
      </c>
      <c r="N52" s="17">
        <v>941954594.79999995</v>
      </c>
    </row>
    <row r="53" spans="1:15" ht="15.75" hidden="1" thickBot="1" x14ac:dyDescent="0.3">
      <c r="A53" s="8" t="s">
        <v>17</v>
      </c>
    </row>
    <row r="54" spans="1:15" hidden="1" x14ac:dyDescent="0.25">
      <c r="A54" s="19" t="s">
        <v>92</v>
      </c>
      <c r="B54" s="44">
        <v>435444945.99000001</v>
      </c>
      <c r="D54" s="23">
        <v>439024664.60000002</v>
      </c>
      <c r="F54" s="23">
        <v>368901807.02999997</v>
      </c>
      <c r="H54" s="23">
        <v>436197567.41000003</v>
      </c>
      <c r="J54" s="23">
        <v>484139840.63</v>
      </c>
      <c r="L54" s="23">
        <v>509467644.5</v>
      </c>
    </row>
    <row r="55" spans="1:15" hidden="1" x14ac:dyDescent="0.25">
      <c r="A55" s="19" t="s">
        <v>93</v>
      </c>
      <c r="B55" s="44">
        <v>12966690.07</v>
      </c>
      <c r="D55" s="23">
        <v>14871591.84</v>
      </c>
      <c r="F55" s="23">
        <v>12663121.52</v>
      </c>
      <c r="H55" s="23">
        <v>6844328.6100000003</v>
      </c>
      <c r="J55" s="23">
        <v>16588336.609999999</v>
      </c>
      <c r="L55" s="23">
        <v>20845603.77</v>
      </c>
    </row>
    <row r="56" spans="1:15" hidden="1" x14ac:dyDescent="0.25">
      <c r="A56" s="19" t="s">
        <v>94</v>
      </c>
      <c r="B56" s="44">
        <v>38216626.270000003</v>
      </c>
      <c r="D56" s="23">
        <v>35554539.039999999</v>
      </c>
      <c r="F56" s="23">
        <v>23699742.25</v>
      </c>
      <c r="H56" s="23">
        <v>20905515.629999999</v>
      </c>
      <c r="J56" s="23">
        <v>46101450.960000001</v>
      </c>
      <c r="L56" s="23">
        <v>67120311.709999993</v>
      </c>
    </row>
    <row r="57" spans="1:15" ht="15.75" hidden="1" thickBot="1" x14ac:dyDescent="0.3">
      <c r="A57" s="19" t="s">
        <v>95</v>
      </c>
      <c r="B57" s="25">
        <f>SUM(B54:B56)</f>
        <v>486628262.32999998</v>
      </c>
      <c r="C57" s="15">
        <f>+B57/B58</f>
        <v>0.84809483087928195</v>
      </c>
      <c r="D57" s="25">
        <f>SUM(D54:D56)</f>
        <v>489450795.48000002</v>
      </c>
      <c r="E57" s="15">
        <f>+D57/D58</f>
        <v>0.77972949333644881</v>
      </c>
      <c r="F57" s="25">
        <f>SUM(F54:F56)</f>
        <v>405264670.79999995</v>
      </c>
      <c r="G57" s="15">
        <f>+F57/F58</f>
        <v>0.72213768065916129</v>
      </c>
      <c r="H57" s="25">
        <f>SUM(H54:H56)</f>
        <v>463947411.65000004</v>
      </c>
      <c r="I57" s="15">
        <f>+H57/H58</f>
        <v>0.80085177534088892</v>
      </c>
      <c r="J57" s="25">
        <f>SUM(J54:J56)</f>
        <v>546829628.20000005</v>
      </c>
      <c r="K57" s="15">
        <f>+J57/J58</f>
        <v>0.77199280320671382</v>
      </c>
      <c r="L57" s="25">
        <f>SUM(L54:L56)</f>
        <v>597433559.98000002</v>
      </c>
      <c r="M57" s="15">
        <f>+L57/L58</f>
        <v>0.70012242001341207</v>
      </c>
    </row>
    <row r="58" spans="1:15" ht="15.75" hidden="1" thickBot="1" x14ac:dyDescent="0.3">
      <c r="A58" s="24" t="s">
        <v>96</v>
      </c>
      <c r="B58" s="17">
        <v>573789916.65999997</v>
      </c>
      <c r="D58" s="17">
        <v>627718714.84000003</v>
      </c>
      <c r="F58" s="17">
        <v>561201390.88999999</v>
      </c>
      <c r="H58" s="17">
        <v>579317454.15999997</v>
      </c>
      <c r="J58" s="17">
        <v>708335137.23000002</v>
      </c>
      <c r="L58" s="17">
        <v>853327279.49000001</v>
      </c>
    </row>
  </sheetData>
  <mergeCells count="21">
    <mergeCell ref="C1:G1"/>
    <mergeCell ref="C2:G2"/>
    <mergeCell ref="B4:G4"/>
    <mergeCell ref="B5:G5"/>
    <mergeCell ref="C7:G7"/>
    <mergeCell ref="E8:G8"/>
    <mergeCell ref="C9:G9"/>
    <mergeCell ref="B24:G24"/>
    <mergeCell ref="B26:G26"/>
    <mergeCell ref="C27:G27"/>
    <mergeCell ref="D35:E35"/>
    <mergeCell ref="C11:G11"/>
    <mergeCell ref="E28:G28"/>
    <mergeCell ref="E29:G29"/>
    <mergeCell ref="B30:G30"/>
    <mergeCell ref="B31:B32"/>
    <mergeCell ref="B12:B13"/>
    <mergeCell ref="C20:G20"/>
    <mergeCell ref="C21:G21"/>
    <mergeCell ref="B33:G34"/>
    <mergeCell ref="B35:C3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5"/>
  <sheetViews>
    <sheetView workbookViewId="0">
      <selection activeCell="G3" sqref="G3"/>
    </sheetView>
  </sheetViews>
  <sheetFormatPr baseColWidth="10" defaultRowHeight="15" x14ac:dyDescent="0.25"/>
  <cols>
    <col min="1" max="1" width="5.85546875" customWidth="1"/>
    <col min="2" max="2" width="14.42578125" bestFit="1" customWidth="1"/>
    <col min="4" max="4" width="12.85546875" bestFit="1" customWidth="1"/>
    <col min="6" max="6" width="12.85546875" bestFit="1" customWidth="1"/>
    <col min="8" max="8" width="12.85546875" bestFit="1" customWidth="1"/>
    <col min="10" max="10" width="12.85546875" bestFit="1" customWidth="1"/>
    <col min="12" max="12" width="12.85546875" bestFit="1" customWidth="1"/>
    <col min="14" max="14" width="12.85546875" customWidth="1"/>
  </cols>
  <sheetData>
    <row r="1" spans="2:7" x14ac:dyDescent="0.25">
      <c r="C1" s="73" t="s">
        <v>117</v>
      </c>
      <c r="D1" s="73"/>
      <c r="E1" s="73"/>
      <c r="F1" s="73"/>
      <c r="G1" s="73"/>
    </row>
    <row r="2" spans="2:7" x14ac:dyDescent="0.25">
      <c r="C2" s="73" t="s">
        <v>118</v>
      </c>
      <c r="D2" s="73"/>
      <c r="E2" s="73"/>
      <c r="F2" s="73"/>
      <c r="G2" s="73"/>
    </row>
    <row r="4" spans="2:7" x14ac:dyDescent="0.25">
      <c r="B4" s="86"/>
      <c r="C4" s="86"/>
      <c r="D4" s="86"/>
      <c r="E4" s="86"/>
      <c r="F4" s="86"/>
      <c r="G4" s="86"/>
    </row>
    <row r="5" spans="2:7" x14ac:dyDescent="0.25">
      <c r="B5" s="87" t="s">
        <v>0</v>
      </c>
      <c r="C5" s="87"/>
      <c r="D5" s="87"/>
      <c r="E5" s="87"/>
      <c r="F5" s="87"/>
      <c r="G5" s="87"/>
    </row>
    <row r="6" spans="2:7" x14ac:dyDescent="0.25">
      <c r="B6" s="82" t="s">
        <v>1</v>
      </c>
      <c r="C6" s="82"/>
      <c r="D6" s="82"/>
      <c r="E6" s="82"/>
      <c r="F6" s="82"/>
      <c r="G6" s="82"/>
    </row>
    <row r="7" spans="2:7" ht="15.75" thickBot="1" x14ac:dyDescent="0.3">
      <c r="B7" s="1"/>
      <c r="C7" s="1"/>
      <c r="D7" s="1"/>
      <c r="E7" s="1"/>
      <c r="F7" s="1"/>
      <c r="G7" s="1"/>
    </row>
    <row r="8" spans="2:7" ht="15.75" thickBot="1" x14ac:dyDescent="0.3">
      <c r="B8" s="2" t="s">
        <v>2</v>
      </c>
      <c r="C8" s="83" t="s">
        <v>83</v>
      </c>
      <c r="D8" s="84"/>
      <c r="E8" s="84"/>
      <c r="F8" s="84"/>
      <c r="G8" s="85"/>
    </row>
    <row r="9" spans="2:7" ht="25.5" customHeight="1" thickBot="1" x14ac:dyDescent="0.3">
      <c r="B9" s="3" t="s">
        <v>3</v>
      </c>
      <c r="C9" s="4" t="s">
        <v>4</v>
      </c>
      <c r="D9" s="5" t="s">
        <v>5</v>
      </c>
      <c r="E9" s="74" t="s">
        <v>64</v>
      </c>
      <c r="F9" s="75"/>
      <c r="G9" s="76"/>
    </row>
    <row r="10" spans="2:7" ht="25.5" customHeight="1" thickBot="1" x14ac:dyDescent="0.3">
      <c r="B10" s="3" t="s">
        <v>6</v>
      </c>
      <c r="C10" s="74" t="s">
        <v>103</v>
      </c>
      <c r="D10" s="75"/>
      <c r="E10" s="75"/>
      <c r="F10" s="75"/>
      <c r="G10" s="76"/>
    </row>
    <row r="11" spans="2:7" ht="15.75" thickBot="1" x14ac:dyDescent="0.3">
      <c r="B11" s="3" t="s">
        <v>7</v>
      </c>
      <c r="C11" s="6" t="s">
        <v>8</v>
      </c>
      <c r="D11" s="5" t="s">
        <v>9</v>
      </c>
      <c r="E11" s="7" t="s">
        <v>70</v>
      </c>
      <c r="F11" s="5" t="s">
        <v>11</v>
      </c>
      <c r="G11" s="7" t="s">
        <v>12</v>
      </c>
    </row>
    <row r="12" spans="2:7" ht="25.5" customHeight="1" thickBot="1" x14ac:dyDescent="0.3">
      <c r="B12" s="3" t="s">
        <v>13</v>
      </c>
      <c r="C12" s="74" t="s">
        <v>84</v>
      </c>
      <c r="D12" s="75"/>
      <c r="E12" s="75"/>
      <c r="F12" s="75"/>
      <c r="G12" s="76"/>
    </row>
    <row r="13" spans="2:7" ht="15.75" thickBot="1" x14ac:dyDescent="0.3">
      <c r="B13" s="88" t="s">
        <v>14</v>
      </c>
      <c r="C13" s="8" t="s">
        <v>15</v>
      </c>
      <c r="D13" s="8" t="s">
        <v>16</v>
      </c>
      <c r="E13" s="8" t="s">
        <v>17</v>
      </c>
      <c r="F13" s="8" t="s">
        <v>18</v>
      </c>
      <c r="G13" s="8" t="s">
        <v>19</v>
      </c>
    </row>
    <row r="14" spans="2:7" ht="15.75" thickBot="1" x14ac:dyDescent="0.3">
      <c r="B14" s="89"/>
      <c r="C14" s="7">
        <v>95</v>
      </c>
      <c r="D14" s="7">
        <v>93</v>
      </c>
      <c r="E14" s="7">
        <v>93</v>
      </c>
      <c r="F14" s="7">
        <v>93</v>
      </c>
      <c r="G14" s="7">
        <v>93</v>
      </c>
    </row>
    <row r="15" spans="2:7" ht="15.75" thickBot="1" x14ac:dyDescent="0.3">
      <c r="B15" s="3" t="s">
        <v>111</v>
      </c>
      <c r="C15" s="7">
        <v>90</v>
      </c>
      <c r="D15" s="7">
        <v>90</v>
      </c>
      <c r="E15" s="7">
        <v>90</v>
      </c>
      <c r="F15" s="7">
        <v>91</v>
      </c>
      <c r="G15" s="7">
        <v>91</v>
      </c>
    </row>
    <row r="16" spans="2:7" ht="15.75" thickBot="1" x14ac:dyDescent="0.3">
      <c r="B16" s="3" t="s">
        <v>105</v>
      </c>
      <c r="C16" s="6">
        <v>80</v>
      </c>
      <c r="D16" s="7">
        <v>85</v>
      </c>
      <c r="E16" s="7">
        <v>87</v>
      </c>
      <c r="F16" s="7">
        <v>90</v>
      </c>
      <c r="G16" s="7">
        <v>90</v>
      </c>
    </row>
    <row r="17" spans="2:7" ht="15.75" thickBot="1" x14ac:dyDescent="0.3">
      <c r="B17" s="3" t="s">
        <v>104</v>
      </c>
      <c r="C17" s="7">
        <v>91</v>
      </c>
      <c r="D17" s="7">
        <v>92</v>
      </c>
      <c r="E17" s="7">
        <v>90</v>
      </c>
      <c r="F17" s="7">
        <v>90</v>
      </c>
      <c r="G17" s="7">
        <v>90</v>
      </c>
    </row>
    <row r="18" spans="2:7" ht="15.75" thickBot="1" x14ac:dyDescent="0.3">
      <c r="B18" s="3" t="s">
        <v>20</v>
      </c>
      <c r="C18" s="6">
        <v>91</v>
      </c>
      <c r="D18" s="7">
        <v>92</v>
      </c>
      <c r="E18" s="7">
        <v>93</v>
      </c>
      <c r="F18" s="7">
        <v>93</v>
      </c>
      <c r="G18" s="7">
        <v>93</v>
      </c>
    </row>
    <row r="19" spans="2:7" ht="15.75" thickBot="1" x14ac:dyDescent="0.3">
      <c r="B19" s="3" t="s">
        <v>21</v>
      </c>
      <c r="C19" s="6">
        <v>81</v>
      </c>
      <c r="D19" s="7">
        <v>80</v>
      </c>
      <c r="E19" s="7">
        <v>80</v>
      </c>
      <c r="F19" s="7">
        <v>80</v>
      </c>
      <c r="G19" s="7">
        <v>80</v>
      </c>
    </row>
    <row r="20" spans="2:7" ht="26.25" thickBot="1" x14ac:dyDescent="0.3">
      <c r="B20" s="9" t="s">
        <v>22</v>
      </c>
      <c r="C20" s="6" t="s">
        <v>23</v>
      </c>
      <c r="D20" s="10" t="s">
        <v>24</v>
      </c>
      <c r="E20" s="6" t="s">
        <v>72</v>
      </c>
      <c r="F20" s="10" t="s">
        <v>26</v>
      </c>
      <c r="G20" s="6" t="s">
        <v>27</v>
      </c>
    </row>
    <row r="21" spans="2:7" ht="15.75" thickBot="1" x14ac:dyDescent="0.3">
      <c r="B21" s="9" t="s">
        <v>28</v>
      </c>
      <c r="C21" s="90" t="s">
        <v>29</v>
      </c>
      <c r="D21" s="91"/>
      <c r="E21" s="91"/>
      <c r="F21" s="91"/>
      <c r="G21" s="92"/>
    </row>
    <row r="22" spans="2:7" ht="26.25" thickBot="1" x14ac:dyDescent="0.3">
      <c r="B22" s="9" t="s">
        <v>30</v>
      </c>
      <c r="C22" s="74" t="s">
        <v>85</v>
      </c>
      <c r="D22" s="75"/>
      <c r="E22" s="75"/>
      <c r="F22" s="75"/>
      <c r="G22" s="76"/>
    </row>
    <row r="23" spans="2:7" ht="39" thickBot="1" x14ac:dyDescent="0.3">
      <c r="B23" s="9" t="s">
        <v>31</v>
      </c>
      <c r="C23" s="11" t="s">
        <v>86</v>
      </c>
      <c r="D23" s="10" t="s">
        <v>24</v>
      </c>
      <c r="E23" s="6" t="s">
        <v>75</v>
      </c>
      <c r="F23" s="10" t="s">
        <v>32</v>
      </c>
      <c r="G23" s="6" t="s">
        <v>51</v>
      </c>
    </row>
    <row r="24" spans="2:7" ht="26.25" thickBot="1" x14ac:dyDescent="0.3">
      <c r="B24" s="9" t="s">
        <v>33</v>
      </c>
      <c r="C24" s="11" t="s">
        <v>82</v>
      </c>
      <c r="D24" s="10" t="s">
        <v>24</v>
      </c>
      <c r="E24" s="6" t="s">
        <v>75</v>
      </c>
      <c r="F24" s="10" t="s">
        <v>32</v>
      </c>
      <c r="G24" s="6" t="s">
        <v>51</v>
      </c>
    </row>
    <row r="25" spans="2:7" ht="15.75" thickBot="1" x14ac:dyDescent="0.3">
      <c r="B25" s="77" t="s">
        <v>34</v>
      </c>
      <c r="C25" s="78"/>
      <c r="D25" s="78"/>
      <c r="E25" s="78"/>
      <c r="F25" s="78"/>
      <c r="G25" s="79"/>
    </row>
    <row r="26" spans="2:7" ht="15.75" thickBot="1" x14ac:dyDescent="0.3">
      <c r="B26" s="9" t="s">
        <v>35</v>
      </c>
      <c r="C26" s="7">
        <f>+-10%</f>
        <v>-0.1</v>
      </c>
      <c r="D26" s="10" t="s">
        <v>36</v>
      </c>
      <c r="E26" s="7">
        <f>+-20%</f>
        <v>-0.2</v>
      </c>
      <c r="F26" s="10" t="s">
        <v>37</v>
      </c>
      <c r="G26" s="7" t="s">
        <v>38</v>
      </c>
    </row>
    <row r="27" spans="2:7" ht="15.75" thickBot="1" x14ac:dyDescent="0.3">
      <c r="B27" s="77" t="s">
        <v>39</v>
      </c>
      <c r="C27" s="78"/>
      <c r="D27" s="78"/>
      <c r="E27" s="78"/>
      <c r="F27" s="78"/>
      <c r="G27" s="79"/>
    </row>
    <row r="28" spans="2:7" ht="15.75" thickBot="1" x14ac:dyDescent="0.3">
      <c r="B28" s="9" t="s">
        <v>40</v>
      </c>
      <c r="C28" s="74" t="s">
        <v>77</v>
      </c>
      <c r="D28" s="75"/>
      <c r="E28" s="75"/>
      <c r="F28" s="75"/>
      <c r="G28" s="76"/>
    </row>
    <row r="29" spans="2:7" ht="26.25" thickBot="1" x14ac:dyDescent="0.3">
      <c r="B29" s="9" t="s">
        <v>41</v>
      </c>
      <c r="C29" s="12">
        <v>44804</v>
      </c>
      <c r="D29" s="10" t="s">
        <v>42</v>
      </c>
      <c r="E29" s="74" t="s">
        <v>54</v>
      </c>
      <c r="F29" s="75"/>
      <c r="G29" s="76"/>
    </row>
    <row r="30" spans="2:7" ht="26.25" thickBot="1" x14ac:dyDescent="0.3">
      <c r="B30" s="9" t="s">
        <v>43</v>
      </c>
      <c r="C30" s="12">
        <v>45208</v>
      </c>
      <c r="D30" s="10" t="s">
        <v>42</v>
      </c>
      <c r="E30" s="74" t="s">
        <v>54</v>
      </c>
      <c r="F30" s="75"/>
      <c r="G30" s="76"/>
    </row>
    <row r="31" spans="2:7" ht="15.75" thickBot="1" x14ac:dyDescent="0.3">
      <c r="B31" s="77" t="s">
        <v>116</v>
      </c>
      <c r="C31" s="78"/>
      <c r="D31" s="78"/>
      <c r="E31" s="78"/>
      <c r="F31" s="78"/>
      <c r="G31" s="79"/>
    </row>
    <row r="32" spans="2:7" ht="15.75" thickBot="1" x14ac:dyDescent="0.3">
      <c r="B32" s="80" t="s">
        <v>44</v>
      </c>
      <c r="C32" s="8" t="s">
        <v>15</v>
      </c>
      <c r="D32" s="8" t="s">
        <v>16</v>
      </c>
      <c r="E32" s="8" t="s">
        <v>17</v>
      </c>
      <c r="F32" s="8" t="s">
        <v>18</v>
      </c>
      <c r="G32" s="8" t="s">
        <v>19</v>
      </c>
    </row>
    <row r="33" spans="1:15" ht="15.75" thickBot="1" x14ac:dyDescent="0.3">
      <c r="B33" s="81"/>
      <c r="C33" s="6">
        <v>88</v>
      </c>
      <c r="D33" s="7">
        <v>87</v>
      </c>
      <c r="E33" s="7">
        <v>88</v>
      </c>
      <c r="F33" s="13"/>
      <c r="G33" s="13"/>
    </row>
    <row r="34" spans="1:15" hidden="1" x14ac:dyDescent="0.25">
      <c r="B34" s="122" t="s">
        <v>91</v>
      </c>
      <c r="C34" s="122"/>
      <c r="D34" s="122"/>
      <c r="E34" s="122"/>
      <c r="F34" s="122"/>
      <c r="G34" s="122"/>
    </row>
    <row r="35" spans="1:15" hidden="1" x14ac:dyDescent="0.25"/>
    <row r="36" spans="1:15" ht="15.75" hidden="1" thickBot="1" x14ac:dyDescent="0.3">
      <c r="A36" s="8" t="s">
        <v>15</v>
      </c>
      <c r="B36" s="108">
        <v>2017</v>
      </c>
      <c r="C36" s="93"/>
      <c r="D36" s="93">
        <v>2018</v>
      </c>
      <c r="E36" s="93"/>
      <c r="F36" s="93">
        <v>2019</v>
      </c>
      <c r="G36" s="93"/>
      <c r="H36" s="93">
        <v>2020</v>
      </c>
      <c r="I36" s="93"/>
      <c r="J36" s="93">
        <v>2021</v>
      </c>
      <c r="K36" s="93"/>
      <c r="L36" s="93">
        <v>2022</v>
      </c>
      <c r="M36" s="93"/>
      <c r="N36" s="93">
        <v>2023</v>
      </c>
      <c r="O36" s="93"/>
    </row>
    <row r="37" spans="1:15" ht="15.75" hidden="1" thickBot="1" x14ac:dyDescent="0.3">
      <c r="A37" s="19" t="s">
        <v>92</v>
      </c>
      <c r="B37" s="23">
        <v>103662300.34</v>
      </c>
      <c r="C37" s="27">
        <f>+B37/B40</f>
        <v>0.90493730438764231</v>
      </c>
      <c r="D37" s="23">
        <v>94851803.010000005</v>
      </c>
      <c r="E37" s="27">
        <f>+D37/D40</f>
        <v>0.80397737545498649</v>
      </c>
      <c r="F37" s="23">
        <v>98671615.150000006</v>
      </c>
      <c r="G37" s="27">
        <f>+F37/F40</f>
        <v>0.89517840688957984</v>
      </c>
      <c r="H37" s="23">
        <v>170386929.38999999</v>
      </c>
      <c r="I37" s="27">
        <f>+H37/H40</f>
        <v>0.94947013699472727</v>
      </c>
      <c r="J37" s="23">
        <v>101029918.45</v>
      </c>
      <c r="K37" s="27">
        <f>+J37/J40</f>
        <v>0.9395357798582763</v>
      </c>
      <c r="L37" s="23">
        <v>94475900.890000001</v>
      </c>
      <c r="M37" s="27">
        <f>+L37/L40</f>
        <v>0.87670056371391292</v>
      </c>
      <c r="N37" s="23">
        <v>105393774.81999999</v>
      </c>
      <c r="O37" s="27">
        <f>+N37/N40</f>
        <v>0.88017702441012435</v>
      </c>
    </row>
    <row r="38" spans="1:15" hidden="1" x14ac:dyDescent="0.25">
      <c r="A38" s="19" t="s">
        <v>93</v>
      </c>
      <c r="B38" s="23">
        <v>5637222.0300000003</v>
      </c>
      <c r="D38" s="23">
        <v>3194205.43</v>
      </c>
      <c r="E38" s="28"/>
      <c r="F38" s="23">
        <v>4229025.7300000004</v>
      </c>
      <c r="G38" s="28"/>
      <c r="H38" s="23">
        <v>2270797.13</v>
      </c>
      <c r="I38" s="28"/>
      <c r="J38" s="23">
        <v>3091095.12</v>
      </c>
      <c r="K38" s="28"/>
      <c r="L38" s="23">
        <v>4242389.8499999996</v>
      </c>
      <c r="N38" s="23">
        <v>7949654.3499999996</v>
      </c>
    </row>
    <row r="39" spans="1:15" hidden="1" x14ac:dyDescent="0.25">
      <c r="A39" s="19" t="s">
        <v>94</v>
      </c>
      <c r="B39" s="23">
        <v>5252391.71</v>
      </c>
      <c r="D39" s="23">
        <v>19932190.829999998</v>
      </c>
      <c r="E39" s="28"/>
      <c r="F39" s="23">
        <v>7325001.7300000004</v>
      </c>
      <c r="G39" s="28"/>
      <c r="H39" s="23">
        <v>6797026.9800000004</v>
      </c>
      <c r="I39" s="28"/>
      <c r="J39" s="23">
        <v>3410727.76</v>
      </c>
      <c r="K39" s="28"/>
      <c r="L39" s="23">
        <v>9044729.8399999999</v>
      </c>
      <c r="N39" s="23">
        <v>6398136.3300000001</v>
      </c>
    </row>
    <row r="40" spans="1:15" ht="15.75" hidden="1" thickBot="1" x14ac:dyDescent="0.3">
      <c r="A40" s="19" t="s">
        <v>95</v>
      </c>
      <c r="B40" s="25">
        <f>SUM(B37:B39)</f>
        <v>114551914.08</v>
      </c>
      <c r="D40" s="25">
        <f>SUM(D37:D39)</f>
        <v>117978199.27000001</v>
      </c>
      <c r="E40" s="28"/>
      <c r="F40" s="25">
        <f>SUM(F37:F39)</f>
        <v>110225642.61000001</v>
      </c>
      <c r="G40" s="28"/>
      <c r="H40" s="25">
        <f>SUM(H37:H39)</f>
        <v>179454753.49999997</v>
      </c>
      <c r="I40" s="28"/>
      <c r="J40" s="25">
        <f>SUM(J37:J39)</f>
        <v>107531741.33000001</v>
      </c>
      <c r="K40" s="28"/>
      <c r="L40" s="25">
        <f>SUM(L37:L39)</f>
        <v>107763020.58</v>
      </c>
      <c r="N40" s="25">
        <f>SUM(N37:N39)</f>
        <v>119741565.49999999</v>
      </c>
    </row>
    <row r="41" spans="1:15" ht="15.75" hidden="1" thickBot="1" x14ac:dyDescent="0.3">
      <c r="A41" s="8" t="s">
        <v>16</v>
      </c>
      <c r="E41" s="28"/>
      <c r="G41" s="28"/>
    </row>
    <row r="42" spans="1:15" ht="15.75" hidden="1" thickBot="1" x14ac:dyDescent="0.3">
      <c r="A42" s="19" t="s">
        <v>92</v>
      </c>
      <c r="B42" s="23">
        <v>204823202.78</v>
      </c>
      <c r="C42" s="27">
        <f>+B42/B45</f>
        <v>0.91977127275669002</v>
      </c>
      <c r="D42" s="23">
        <v>193230433.59</v>
      </c>
      <c r="E42" s="27">
        <f>+D42/D45</f>
        <v>0.84879327776770952</v>
      </c>
      <c r="F42" s="23">
        <v>192057099.00999999</v>
      </c>
      <c r="G42" s="27">
        <f>+F42/F45</f>
        <v>0.89731911997985325</v>
      </c>
      <c r="H42" s="23">
        <v>259980153.12</v>
      </c>
      <c r="I42" s="27">
        <f>+H42/H45</f>
        <v>0.94681556833041358</v>
      </c>
      <c r="J42" s="23">
        <v>189119098.19</v>
      </c>
      <c r="K42" s="27">
        <f>+J42/J45</f>
        <v>0.92512644622597151</v>
      </c>
      <c r="L42" s="23">
        <v>199015537.97</v>
      </c>
      <c r="M42" s="27">
        <f>+L42/L45</f>
        <v>0.78071642039979072</v>
      </c>
      <c r="N42" s="23">
        <v>218665471.16999999</v>
      </c>
      <c r="O42" s="27">
        <f>+N42/N45</f>
        <v>0.86679997915515938</v>
      </c>
    </row>
    <row r="43" spans="1:15" hidden="1" x14ac:dyDescent="0.25">
      <c r="A43" s="19" t="s">
        <v>93</v>
      </c>
      <c r="B43" s="23">
        <v>7229254.29</v>
      </c>
      <c r="D43" s="23">
        <v>9425969.9000000004</v>
      </c>
      <c r="E43" s="28"/>
      <c r="F43" s="23">
        <v>8587064.8599999994</v>
      </c>
      <c r="H43" s="23">
        <v>2966212.34</v>
      </c>
      <c r="I43" s="28"/>
      <c r="J43" s="23">
        <v>6331635.96</v>
      </c>
      <c r="K43" s="28"/>
      <c r="L43" s="23">
        <v>7939091.4900000002</v>
      </c>
      <c r="N43" s="23">
        <v>18320066.59</v>
      </c>
    </row>
    <row r="44" spans="1:15" hidden="1" x14ac:dyDescent="0.25">
      <c r="A44" s="19" t="s">
        <v>94</v>
      </c>
      <c r="B44" s="23">
        <v>10636823.24</v>
      </c>
      <c r="D44" s="23">
        <v>24996711.41</v>
      </c>
      <c r="E44" s="28"/>
      <c r="F44" s="23">
        <v>13390168.77</v>
      </c>
      <c r="H44" s="23">
        <v>11637367.439999999</v>
      </c>
      <c r="I44" s="28"/>
      <c r="J44" s="23">
        <v>8974400.3399999999</v>
      </c>
      <c r="K44" s="28"/>
      <c r="L44" s="23">
        <v>47959360.780000001</v>
      </c>
      <c r="N44" s="23">
        <v>15281970.810000001</v>
      </c>
    </row>
    <row r="45" spans="1:15" ht="15.75" hidden="1" thickBot="1" x14ac:dyDescent="0.3">
      <c r="A45" s="19" t="s">
        <v>95</v>
      </c>
      <c r="B45" s="25">
        <f>SUM(B42:B44)</f>
        <v>222689280.31</v>
      </c>
      <c r="D45" s="25">
        <f>SUM(D42:D44)</f>
        <v>227653114.90000001</v>
      </c>
      <c r="E45" s="28"/>
      <c r="F45" s="25">
        <f>SUM(F42:F44)</f>
        <v>214034332.64000002</v>
      </c>
      <c r="G45" s="15"/>
      <c r="H45" s="25">
        <f>SUM(H42:H44)</f>
        <v>274583732.90000004</v>
      </c>
      <c r="I45" s="28"/>
      <c r="J45" s="25">
        <f>SUM(J42:J44)</f>
        <v>204425134.49000001</v>
      </c>
      <c r="K45" s="28"/>
      <c r="L45" s="25">
        <f>SUM(L42:L44)</f>
        <v>254913990.24000001</v>
      </c>
      <c r="N45" s="25">
        <f>SUM(N42:N44)</f>
        <v>252267508.56999999</v>
      </c>
    </row>
    <row r="46" spans="1:15" ht="15.75" hidden="1" thickBot="1" x14ac:dyDescent="0.3">
      <c r="A46" s="8" t="s">
        <v>17</v>
      </c>
      <c r="E46" s="28"/>
    </row>
    <row r="47" spans="1:15" ht="15.75" hidden="1" thickBot="1" x14ac:dyDescent="0.3">
      <c r="A47" s="19" t="s">
        <v>92</v>
      </c>
      <c r="B47" s="23">
        <v>291076257.98000002</v>
      </c>
      <c r="C47" s="27">
        <f>+B47/B50</f>
        <v>0.90190504222049039</v>
      </c>
      <c r="D47" s="23">
        <v>285709361.10000002</v>
      </c>
      <c r="E47" s="27">
        <f>+D47/D50</f>
        <v>0.87221045146707343</v>
      </c>
      <c r="F47" s="23">
        <v>281946505.63999999</v>
      </c>
      <c r="G47" s="27">
        <f>+F47/F50</f>
        <v>0.90239903352050699</v>
      </c>
      <c r="H47" s="23">
        <v>351554349.47000003</v>
      </c>
      <c r="I47" s="27">
        <f>+H47/H50</f>
        <v>0.94239398591441381</v>
      </c>
      <c r="J47" s="23">
        <v>281978499.27999997</v>
      </c>
      <c r="K47" s="27">
        <f>+J47/J50</f>
        <v>0.90774513331266649</v>
      </c>
      <c r="L47" s="23">
        <v>308873783.92000002</v>
      </c>
      <c r="M47" s="27">
        <f>+L47/L50</f>
        <v>0.81922592546877904</v>
      </c>
      <c r="N47" s="23">
        <v>332336652.35000002</v>
      </c>
      <c r="O47" s="27">
        <f>+N47/N50</f>
        <v>0.88015217090445574</v>
      </c>
    </row>
    <row r="48" spans="1:15" hidden="1" x14ac:dyDescent="0.25">
      <c r="A48" s="19" t="s">
        <v>93</v>
      </c>
      <c r="B48" s="23">
        <v>10565957.68</v>
      </c>
      <c r="D48" s="23">
        <v>11656596.33</v>
      </c>
      <c r="E48" s="28"/>
      <c r="F48" s="23">
        <v>10921702.880000001</v>
      </c>
      <c r="H48" s="23">
        <v>5288531.88</v>
      </c>
      <c r="J48" s="23">
        <v>11299513.789999999</v>
      </c>
      <c r="L48" s="23">
        <v>12904434.17</v>
      </c>
      <c r="N48" s="23">
        <v>21948585.02</v>
      </c>
    </row>
    <row r="49" spans="1:14" hidden="1" x14ac:dyDescent="0.25">
      <c r="A49" s="19" t="s">
        <v>94</v>
      </c>
      <c r="B49" s="23">
        <v>21092711.359999999</v>
      </c>
      <c r="D49" s="23">
        <v>30203335.760000002</v>
      </c>
      <c r="E49" s="28"/>
      <c r="F49" s="23">
        <v>19572846.010000002</v>
      </c>
      <c r="H49" s="23">
        <v>16201041.6</v>
      </c>
      <c r="J49" s="23">
        <v>17358187.48</v>
      </c>
      <c r="L49" s="23">
        <v>55253043.149999999</v>
      </c>
      <c r="N49" s="23">
        <v>23304755.969999999</v>
      </c>
    </row>
    <row r="50" spans="1:14" ht="15.75" hidden="1" thickBot="1" x14ac:dyDescent="0.3">
      <c r="A50" s="19" t="s">
        <v>95</v>
      </c>
      <c r="B50" s="25">
        <f>SUM(B47:B49)</f>
        <v>322734927.02000004</v>
      </c>
      <c r="D50" s="25">
        <f>SUM(D47:D49)</f>
        <v>327569293.19</v>
      </c>
      <c r="E50" s="28"/>
      <c r="F50" s="25">
        <f>SUM(F47:F49)</f>
        <v>312441054.52999997</v>
      </c>
      <c r="H50" s="25">
        <f>SUM(H47:H49)</f>
        <v>373043922.95000005</v>
      </c>
      <c r="J50" s="25">
        <f>SUM(J47:J49)</f>
        <v>310636200.55000001</v>
      </c>
      <c r="L50" s="25">
        <f>SUM(L47:L49)</f>
        <v>377031261.24000001</v>
      </c>
      <c r="N50" s="25">
        <f>SUM(N47:N49)</f>
        <v>377589993.34000003</v>
      </c>
    </row>
    <row r="51" spans="1:14" ht="15.75" hidden="1" thickBot="1" x14ac:dyDescent="0.3">
      <c r="A51" s="8" t="s">
        <v>18</v>
      </c>
      <c r="E51" s="28"/>
    </row>
    <row r="52" spans="1:14" ht="15.75" hidden="1" thickBot="1" x14ac:dyDescent="0.3">
      <c r="A52" s="19" t="s">
        <v>92</v>
      </c>
      <c r="B52" s="44">
        <v>435444945.99000001</v>
      </c>
      <c r="C52" s="27">
        <f>+B52/B55</f>
        <v>0.89482050200920982</v>
      </c>
      <c r="D52" s="23">
        <v>439024664.60000002</v>
      </c>
      <c r="E52" s="27">
        <f>+D52/D55</f>
        <v>0.89697405470442126</v>
      </c>
      <c r="F52" s="23">
        <v>368901807.02999997</v>
      </c>
      <c r="G52" s="27">
        <f>+F52/F55</f>
        <v>0.91027378799583236</v>
      </c>
      <c r="H52" s="23">
        <v>436197567.41000003</v>
      </c>
      <c r="I52" s="27">
        <f>+H52/H55</f>
        <v>0.94018752224242519</v>
      </c>
      <c r="J52" s="23">
        <v>484139840.63</v>
      </c>
      <c r="K52" s="27">
        <f>+J52/J55</f>
        <v>0.88535773422454056</v>
      </c>
      <c r="L52" s="23">
        <v>509467644.5</v>
      </c>
      <c r="M52" s="27">
        <f>+L52/L55</f>
        <v>0.85276033793122563</v>
      </c>
    </row>
    <row r="53" spans="1:14" hidden="1" x14ac:dyDescent="0.25">
      <c r="A53" s="19" t="s">
        <v>93</v>
      </c>
      <c r="B53" s="44">
        <v>12966690.07</v>
      </c>
      <c r="D53" s="23">
        <v>14871591.84</v>
      </c>
      <c r="F53" s="23">
        <v>12663121.52</v>
      </c>
      <c r="H53" s="23">
        <v>6844328.6100000003</v>
      </c>
      <c r="J53" s="23">
        <v>16588336.609999999</v>
      </c>
      <c r="L53" s="23">
        <v>20845603.77</v>
      </c>
    </row>
    <row r="54" spans="1:14" hidden="1" x14ac:dyDescent="0.25">
      <c r="A54" s="19" t="s">
        <v>94</v>
      </c>
      <c r="B54" s="44">
        <v>38216626.270000003</v>
      </c>
      <c r="D54" s="23">
        <v>35554539.039999999</v>
      </c>
      <c r="F54" s="23">
        <v>23699742.25</v>
      </c>
      <c r="H54" s="23">
        <v>20905515.629999999</v>
      </c>
      <c r="J54" s="23">
        <v>46101450.960000001</v>
      </c>
      <c r="L54" s="23">
        <v>67120311.709999993</v>
      </c>
    </row>
    <row r="55" spans="1:14" ht="15.75" hidden="1" thickBot="1" x14ac:dyDescent="0.3">
      <c r="A55" s="19" t="s">
        <v>95</v>
      </c>
      <c r="B55" s="25">
        <f>SUM(B52:B54)</f>
        <v>486628262.32999998</v>
      </c>
      <c r="D55" s="25">
        <f>SUM(D52:D54)</f>
        <v>489450795.48000002</v>
      </c>
      <c r="F55" s="25">
        <f>SUM(F52:F54)</f>
        <v>405264670.79999995</v>
      </c>
      <c r="H55" s="25">
        <f>SUM(H52:H54)</f>
        <v>463947411.65000004</v>
      </c>
      <c r="J55" s="25">
        <f>SUM(J52:J54)</f>
        <v>546829628.20000005</v>
      </c>
      <c r="L55" s="25">
        <f>SUM(L52:L54)</f>
        <v>597433559.98000002</v>
      </c>
    </row>
  </sheetData>
  <mergeCells count="27">
    <mergeCell ref="C1:G1"/>
    <mergeCell ref="C2:G2"/>
    <mergeCell ref="B25:G25"/>
    <mergeCell ref="C28:G28"/>
    <mergeCell ref="C10:G10"/>
    <mergeCell ref="C12:G12"/>
    <mergeCell ref="B13:B14"/>
    <mergeCell ref="C21:G21"/>
    <mergeCell ref="C22:G22"/>
    <mergeCell ref="B27:G27"/>
    <mergeCell ref="B4:G4"/>
    <mergeCell ref="B5:G5"/>
    <mergeCell ref="B6:G6"/>
    <mergeCell ref="C8:G8"/>
    <mergeCell ref="E9:G9"/>
    <mergeCell ref="E29:G29"/>
    <mergeCell ref="E30:G30"/>
    <mergeCell ref="B31:G31"/>
    <mergeCell ref="B32:B33"/>
    <mergeCell ref="F36:G36"/>
    <mergeCell ref="D36:E36"/>
    <mergeCell ref="N36:O36"/>
    <mergeCell ref="L36:M36"/>
    <mergeCell ref="J36:K36"/>
    <mergeCell ref="B34:G34"/>
    <mergeCell ref="B36:C36"/>
    <mergeCell ref="H36:I36"/>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TSJ</vt:lpstr>
      <vt:lpstr>J.ORAL</vt:lpstr>
      <vt:lpstr>IJA</vt:lpstr>
      <vt:lpstr>Rendicion Ctas</vt:lpstr>
      <vt:lpstr>Recaudación</vt:lpstr>
      <vt:lpstr>Avance Presupuesto</vt:lpstr>
      <vt:lpstr>G. Programable</vt:lpstr>
      <vt:lpstr>G. Operación</vt:lpstr>
      <vt:lpstr>Serv. Personales</vt:lpstr>
      <vt:lpstr>IJA!Títulos_a_imprimir</vt:lpstr>
      <vt:lpstr>J.ORAL!Títulos_a_imprimir</vt:lpstr>
      <vt:lpstr>TSJ!Títulos_a_imprimir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cojprepc0001</dc:creator>
  <cp:lastModifiedBy>obruno</cp:lastModifiedBy>
  <cp:lastPrinted>2023-10-20T16:32:22Z</cp:lastPrinted>
  <dcterms:created xsi:type="dcterms:W3CDTF">2018-04-24T22:41:04Z</dcterms:created>
  <dcterms:modified xsi:type="dcterms:W3CDTF">2023-10-20T16:34:35Z</dcterms:modified>
</cp:coreProperties>
</file>