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695" windowHeight="6540"/>
  </bookViews>
  <sheets>
    <sheet name="GUIA CUMPLIMIENTO" sheetId="1" r:id="rId1"/>
    <sheet name="F5_EAID" sheetId="3" r:id="rId2"/>
    <sheet name="7a Proyección de Ingresos" sheetId="4" r:id="rId3"/>
    <sheet name="7b Proyección de Egresos" sheetId="5" r:id="rId4"/>
    <sheet name="7 c) Resultadosde Ingresos " sheetId="6" r:id="rId5"/>
    <sheet name="7 d) 2018" sheetId="7" r:id="rId6"/>
    <sheet name="Hoja1" sheetId="2" r:id="rId7"/>
  </sheets>
  <definedNames>
    <definedName name="ANIO_INFORME">#REF!</definedName>
    <definedName name="ANIO1R">#REF!</definedName>
    <definedName name="ANIO2R">#REF!</definedName>
    <definedName name="ANIO3R">#REF!</definedName>
    <definedName name="ANIO4R">#REF!</definedName>
    <definedName name="ANIO5R">#REF!</definedName>
    <definedName name="_xlnm.Print_Area" localSheetId="0">'GUIA CUMPLIMIENTO'!$A$1:$M$81</definedName>
    <definedName name="ENTIDAD">#REF!</definedName>
    <definedName name="_xlnm.Print_Titles" localSheetId="1">F5_EAID!$2:$8</definedName>
    <definedName name="_xlnm.Print_Titles" localSheetId="0">'GUIA CUMPLIMIENTO'!$1:$8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7" l="1"/>
  <c r="F18" i="7"/>
  <c r="F12" i="7"/>
  <c r="F11" i="7"/>
  <c r="F10" i="7"/>
  <c r="F9" i="7"/>
  <c r="F8" i="7"/>
  <c r="E23" i="7"/>
  <c r="E18" i="7" s="1"/>
  <c r="E12" i="7"/>
  <c r="E11" i="7"/>
  <c r="E10" i="7"/>
  <c r="E9" i="7"/>
  <c r="E8" i="7"/>
  <c r="D23" i="7"/>
  <c r="D21" i="7"/>
  <c r="D18" i="7" s="1"/>
  <c r="D20" i="7"/>
  <c r="D13" i="7"/>
  <c r="D12" i="7"/>
  <c r="D11" i="7"/>
  <c r="D10" i="7"/>
  <c r="D9" i="7"/>
  <c r="D8" i="7"/>
  <c r="C23" i="7"/>
  <c r="C21" i="7"/>
  <c r="C20" i="7"/>
  <c r="C13" i="7"/>
  <c r="C12" i="7"/>
  <c r="C11" i="7"/>
  <c r="C10" i="7"/>
  <c r="C9" i="7"/>
  <c r="C8" i="7"/>
  <c r="B23" i="7"/>
  <c r="B18" i="7" s="1"/>
  <c r="B10" i="7"/>
  <c r="B13" i="7"/>
  <c r="B12" i="7"/>
  <c r="B11" i="7"/>
  <c r="B9" i="7"/>
  <c r="B8" i="7"/>
  <c r="G7" i="7"/>
  <c r="G29" i="7" s="1"/>
  <c r="F7" i="7" l="1"/>
  <c r="F29" i="7" s="1"/>
  <c r="E7" i="7"/>
  <c r="E29" i="7" s="1"/>
  <c r="D7" i="7"/>
  <c r="D29" i="7" s="1"/>
  <c r="C18" i="7"/>
  <c r="C7" i="7"/>
  <c r="C29" i="7" s="1"/>
  <c r="B7" i="7"/>
  <c r="B29" i="7" s="1"/>
  <c r="F15" i="6" l="1"/>
  <c r="E15" i="6"/>
  <c r="D26" i="6"/>
  <c r="D15" i="6"/>
  <c r="C26" i="6"/>
  <c r="C22" i="6" l="1"/>
  <c r="C20" i="6"/>
  <c r="C15" i="6"/>
  <c r="B32" i="6"/>
  <c r="B22" i="6"/>
  <c r="B26" i="6"/>
  <c r="B8" i="6"/>
  <c r="B15" i="6"/>
  <c r="B20" i="6"/>
  <c r="D8" i="6"/>
  <c r="E8" i="6"/>
  <c r="E32" i="6" s="1"/>
  <c r="F8" i="6"/>
  <c r="F32" i="6" s="1"/>
  <c r="G8" i="6"/>
  <c r="G32" i="6" s="1"/>
  <c r="D22" i="6"/>
  <c r="E22" i="6"/>
  <c r="F22" i="6"/>
  <c r="G22" i="6"/>
  <c r="C29" i="6"/>
  <c r="D29" i="6"/>
  <c r="E29" i="6"/>
  <c r="F29" i="6"/>
  <c r="G29" i="6"/>
  <c r="C37" i="6"/>
  <c r="D37" i="6"/>
  <c r="E37" i="6"/>
  <c r="F37" i="6"/>
  <c r="G37" i="6"/>
  <c r="D32" i="6" l="1"/>
  <c r="C8" i="6"/>
  <c r="C32" i="6"/>
  <c r="H37" i="5"/>
  <c r="H38" i="5" s="1"/>
  <c r="D37" i="5"/>
  <c r="D38" i="5" s="1"/>
  <c r="H35" i="5"/>
  <c r="G35" i="5"/>
  <c r="G37" i="5" s="1"/>
  <c r="G38" i="5" s="1"/>
  <c r="F35" i="5"/>
  <c r="F37" i="5" s="1"/>
  <c r="F38" i="5" s="1"/>
  <c r="E35" i="5"/>
  <c r="E37" i="5" s="1"/>
  <c r="E38" i="5" s="1"/>
  <c r="D35" i="5"/>
  <c r="H18" i="5"/>
  <c r="G18" i="5"/>
  <c r="F18" i="5"/>
  <c r="E18" i="5"/>
  <c r="D18" i="5"/>
  <c r="C18" i="5"/>
  <c r="H8" i="5"/>
  <c r="H28" i="5" s="1"/>
  <c r="G8" i="5"/>
  <c r="G28" i="5" s="1"/>
  <c r="F8" i="5"/>
  <c r="F28" i="5" s="1"/>
  <c r="E8" i="5"/>
  <c r="E28" i="5" s="1"/>
  <c r="D8" i="5"/>
  <c r="D28" i="5" s="1"/>
  <c r="C8" i="5"/>
  <c r="C28" i="5" s="1"/>
  <c r="C53" i="4"/>
  <c r="B52" i="4"/>
  <c r="G52" i="4" s="1"/>
  <c r="B51" i="4"/>
  <c r="B50" i="4"/>
  <c r="G50" i="4" s="1"/>
  <c r="B49" i="4"/>
  <c r="B48" i="4"/>
  <c r="G48" i="4" s="1"/>
  <c r="B47" i="4"/>
  <c r="B46" i="4"/>
  <c r="G46" i="4" s="1"/>
  <c r="H44" i="4"/>
  <c r="H51" i="4" s="1"/>
  <c r="G44" i="4"/>
  <c r="G51" i="4" s="1"/>
  <c r="F44" i="4"/>
  <c r="F52" i="4" s="1"/>
  <c r="E44" i="4"/>
  <c r="E52" i="4" s="1"/>
  <c r="D44" i="4"/>
  <c r="D51" i="4" s="1"/>
  <c r="C44" i="4"/>
  <c r="H42" i="4"/>
  <c r="G42" i="4"/>
  <c r="F42" i="4"/>
  <c r="E42" i="4"/>
  <c r="D42" i="4"/>
  <c r="H37" i="4"/>
  <c r="G37" i="4"/>
  <c r="F37" i="4"/>
  <c r="E37" i="4"/>
  <c r="D37" i="4"/>
  <c r="C37" i="4"/>
  <c r="H29" i="4"/>
  <c r="G29" i="4"/>
  <c r="F29" i="4"/>
  <c r="E29" i="4"/>
  <c r="D29" i="4"/>
  <c r="C29" i="4"/>
  <c r="H22" i="4"/>
  <c r="G22" i="4"/>
  <c r="F22" i="4"/>
  <c r="E22" i="4"/>
  <c r="D22" i="4"/>
  <c r="C22" i="4"/>
  <c r="H18" i="4"/>
  <c r="H8" i="4" s="1"/>
  <c r="H32" i="4" s="1"/>
  <c r="G18" i="4"/>
  <c r="F18" i="4"/>
  <c r="F8" i="4" s="1"/>
  <c r="F32" i="4" s="1"/>
  <c r="E18" i="4"/>
  <c r="D18" i="4"/>
  <c r="D8" i="4" s="1"/>
  <c r="D32" i="4" s="1"/>
  <c r="G8" i="4"/>
  <c r="G32" i="4" s="1"/>
  <c r="E8" i="4"/>
  <c r="E32" i="4" s="1"/>
  <c r="C8" i="4"/>
  <c r="C32" i="4" s="1"/>
  <c r="G77" i="3"/>
  <c r="F77" i="3"/>
  <c r="D77" i="3"/>
  <c r="C77" i="3"/>
  <c r="H76" i="3"/>
  <c r="E76" i="3"/>
  <c r="H75" i="3"/>
  <c r="H77" i="3" s="1"/>
  <c r="E75" i="3"/>
  <c r="E77" i="3" s="1"/>
  <c r="H70" i="3"/>
  <c r="H69" i="3" s="1"/>
  <c r="E70" i="3"/>
  <c r="G69" i="3"/>
  <c r="F69" i="3"/>
  <c r="E69" i="3"/>
  <c r="D69" i="3"/>
  <c r="C69" i="3"/>
  <c r="H65" i="3"/>
  <c r="E65" i="3"/>
  <c r="H64" i="3"/>
  <c r="E64" i="3"/>
  <c r="H63" i="3"/>
  <c r="E63" i="3"/>
  <c r="H62" i="3"/>
  <c r="H61" i="3" s="1"/>
  <c r="E62" i="3"/>
  <c r="G61" i="3"/>
  <c r="F61" i="3"/>
  <c r="E61" i="3"/>
  <c r="D61" i="3"/>
  <c r="C61" i="3"/>
  <c r="H60" i="3"/>
  <c r="E60" i="3"/>
  <c r="H59" i="3"/>
  <c r="E59" i="3"/>
  <c r="H58" i="3"/>
  <c r="E58" i="3"/>
  <c r="H57" i="3"/>
  <c r="E57" i="3"/>
  <c r="H56" i="3"/>
  <c r="G56" i="3"/>
  <c r="F56" i="3"/>
  <c r="E56" i="3"/>
  <c r="D56" i="3"/>
  <c r="C56" i="3"/>
  <c r="H55" i="3"/>
  <c r="E55" i="3"/>
  <c r="H54" i="3"/>
  <c r="E54" i="3"/>
  <c r="H53" i="3"/>
  <c r="E53" i="3"/>
  <c r="H52" i="3"/>
  <c r="E52" i="3"/>
  <c r="H51" i="3"/>
  <c r="E51" i="3"/>
  <c r="H50" i="3"/>
  <c r="E50" i="3"/>
  <c r="H49" i="3"/>
  <c r="E49" i="3"/>
  <c r="H48" i="3"/>
  <c r="H47" i="3" s="1"/>
  <c r="E48" i="3"/>
  <c r="G47" i="3"/>
  <c r="G67" i="3" s="1"/>
  <c r="F47" i="3"/>
  <c r="F67" i="3" s="1"/>
  <c r="E47" i="3"/>
  <c r="E67" i="3" s="1"/>
  <c r="D47" i="3"/>
  <c r="D67" i="3" s="1"/>
  <c r="C47" i="3"/>
  <c r="C67" i="3" s="1"/>
  <c r="H40" i="3"/>
  <c r="E40" i="3"/>
  <c r="H39" i="3"/>
  <c r="H38" i="3" s="1"/>
  <c r="E39" i="3"/>
  <c r="G38" i="3"/>
  <c r="F38" i="3"/>
  <c r="E38" i="3"/>
  <c r="D38" i="3"/>
  <c r="C38" i="3"/>
  <c r="H37" i="3"/>
  <c r="H36" i="3" s="1"/>
  <c r="E37" i="3"/>
  <c r="G36" i="3"/>
  <c r="F36" i="3"/>
  <c r="E36" i="3"/>
  <c r="D36" i="3"/>
  <c r="C36" i="3"/>
  <c r="H35" i="3"/>
  <c r="E35" i="3"/>
  <c r="H34" i="3"/>
  <c r="E34" i="3"/>
  <c r="H33" i="3"/>
  <c r="E33" i="3"/>
  <c r="H32" i="3"/>
  <c r="E32" i="3"/>
  <c r="H31" i="3"/>
  <c r="E31" i="3"/>
  <c r="H30" i="3"/>
  <c r="E30" i="3"/>
  <c r="H29" i="3"/>
  <c r="G29" i="3"/>
  <c r="F29" i="3"/>
  <c r="E29" i="3"/>
  <c r="D29" i="3"/>
  <c r="C29" i="3"/>
  <c r="H28" i="3"/>
  <c r="E28" i="3"/>
  <c r="H27" i="3"/>
  <c r="E27" i="3"/>
  <c r="H26" i="3"/>
  <c r="E26" i="3"/>
  <c r="H25" i="3"/>
  <c r="E25" i="3"/>
  <c r="H24" i="3"/>
  <c r="E24" i="3"/>
  <c r="H23" i="3"/>
  <c r="E23" i="3"/>
  <c r="H22" i="3"/>
  <c r="E22" i="3"/>
  <c r="H21" i="3"/>
  <c r="E21" i="3"/>
  <c r="H20" i="3"/>
  <c r="E20" i="3"/>
  <c r="H19" i="3"/>
  <c r="E19" i="3"/>
  <c r="E17" i="3" s="1"/>
  <c r="H18" i="3"/>
  <c r="E18" i="3"/>
  <c r="H17" i="3"/>
  <c r="G17" i="3"/>
  <c r="G42" i="3" s="1"/>
  <c r="F17" i="3"/>
  <c r="F42" i="3" s="1"/>
  <c r="F72" i="3" s="1"/>
  <c r="D17" i="3"/>
  <c r="D42" i="3" s="1"/>
  <c r="D72" i="3" s="1"/>
  <c r="C17" i="3"/>
  <c r="C42" i="3" s="1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E42" i="3" s="1"/>
  <c r="E72" i="3" s="1"/>
  <c r="G40" i="5" l="1"/>
  <c r="E40" i="5"/>
  <c r="D40" i="5"/>
  <c r="F40" i="5"/>
  <c r="H40" i="5"/>
  <c r="E49" i="4"/>
  <c r="D46" i="4"/>
  <c r="H46" i="4"/>
  <c r="F47" i="4"/>
  <c r="D48" i="4"/>
  <c r="H48" i="4"/>
  <c r="F49" i="4"/>
  <c r="D50" i="4"/>
  <c r="H50" i="4"/>
  <c r="F51" i="4"/>
  <c r="D52" i="4"/>
  <c r="H52" i="4"/>
  <c r="E47" i="4"/>
  <c r="E51" i="4"/>
  <c r="E46" i="4"/>
  <c r="G47" i="4"/>
  <c r="G53" i="4" s="1"/>
  <c r="E48" i="4"/>
  <c r="G49" i="4"/>
  <c r="E50" i="4"/>
  <c r="F46" i="4"/>
  <c r="F53" i="4" s="1"/>
  <c r="D47" i="4"/>
  <c r="H47" i="4"/>
  <c r="F48" i="4"/>
  <c r="D49" i="4"/>
  <c r="H49" i="4"/>
  <c r="F50" i="4"/>
  <c r="H42" i="3"/>
  <c r="G72" i="3"/>
  <c r="G82" i="3" s="1"/>
  <c r="H67" i="3"/>
  <c r="C72" i="3"/>
  <c r="E53" i="4" l="1"/>
  <c r="H53" i="4"/>
  <c r="D53" i="4"/>
  <c r="H72" i="3"/>
</calcChain>
</file>

<file path=xl/sharedStrings.xml><?xml version="1.0" encoding="utf-8"?>
<sst xmlns="http://schemas.openxmlformats.org/spreadsheetml/2006/main" count="519" uniqueCount="286">
  <si>
    <t>Guía de Cumplimiento de la Ley de Disciplina Financiera de las Entidades Federativas y Municipios</t>
  </si>
  <si>
    <t>Indicadores de Observancia</t>
  </si>
  <si>
    <t>Implementación</t>
  </si>
  <si>
    <t>Resultado</t>
  </si>
  <si>
    <t>Fundamento</t>
  </si>
  <si>
    <t>Comentarios</t>
  </si>
  <si>
    <t>SI</t>
  </si>
  <si>
    <t>NO</t>
  </si>
  <si>
    <t>Mecanismo de Verificación</t>
  </si>
  <si>
    <t>Fecha estimada de cumplimiento</t>
  </si>
  <si>
    <t>Monto o valor</t>
  </si>
  <si>
    <t>Unidad (pesos/porcentaje)</t>
  </si>
  <si>
    <t>INDICADORES PRESUPUESTARIOS</t>
  </si>
  <si>
    <t>A.</t>
  </si>
  <si>
    <t>INDICADORES CUANTITATIVOS</t>
  </si>
  <si>
    <t>Balance Presupuestario Sostenible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</si>
  <si>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</si>
  <si>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</si>
  <si>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</si>
  <si>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</si>
  <si>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</si>
  <si>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</si>
  <si>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</si>
  <si>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</si>
  <si>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</si>
  <si>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</si>
  <si>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</si>
  <si>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</t>
  </si>
  <si>
    <t>Financiamiento Neto dentro del Techo de Financiamiento Neto</t>
  </si>
  <si>
    <t>Iniciativa de Ley de Ingresos</t>
  </si>
  <si>
    <t>Art. 6, 19 y 46 de la LDF</t>
  </si>
  <si>
    <t>Ley de Ingresos</t>
  </si>
  <si>
    <t>Recursos destinados a la atención de desastres naturales</t>
  </si>
  <si>
    <t>Asignación al fideicomiso para desastres naturales</t>
  </si>
  <si>
    <t>a.1  Aprobado</t>
  </si>
  <si>
    <t>Reporte Trim. Formato 6 a)</t>
  </si>
  <si>
    <t>Art. 9 de la LDF</t>
  </si>
  <si>
    <t>a.2  Pagado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</si>
  <si>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</si>
  <si>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</si>
  <si>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</si>
  <si>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>Saldo del fideicomiso para desastres naturales</t>
  </si>
  <si>
    <t>Cuenta Pública / Auxiliar de Cuentas</t>
  </si>
  <si>
    <t>d.</t>
  </si>
  <si>
    <t>Costo promedio de los últimos 5 ejercicios de la reconstrucción de infraestructura dañada por desastres naturales</t>
  </si>
  <si>
    <t>Techo para servicios Personales</t>
  </si>
  <si>
    <t>Asignación en el Presupuesto de Egresos</t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</si>
  <si>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</si>
  <si>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</si>
  <si>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</si>
  <si>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</si>
  <si>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>Presupuesto de Egresos</t>
  </si>
  <si>
    <t>Art. 11 y 21 de la LDF</t>
  </si>
  <si>
    <t>Techo de ADEFAS para el ejercicio fiscal</t>
  </si>
  <si>
    <t>Proyecto de Presupuesto de Egresos</t>
  </si>
  <si>
    <t>Art. 12 y 20 de la LDF</t>
  </si>
  <si>
    <t>B.</t>
  </si>
  <si>
    <t>INDICADORES CUALITATIVOS</t>
  </si>
  <si>
    <t>Objetivos anuales, estrategias y metas para el ejercicio fiscal</t>
  </si>
  <si>
    <t>Art. 5 y 18 de la LDF</t>
  </si>
  <si>
    <t>Proyecciones de ejercicios posteriores</t>
  </si>
  <si>
    <t>Iniciativa de Ley de Ingresos y Proyecto de Presupuesto de Egresos / Formatos 7 a) y b)</t>
  </si>
  <si>
    <t>Descripción de riesgos  relevantes y propuestas de acción para enfrentarlos</t>
  </si>
  <si>
    <t>Resultados de ejercicios fiscales anteriores y el ejercicio fiscal en cuestión</t>
  </si>
  <si>
    <t>Iniciativa de Ley de Ingresos y Proyecto de Presupuesto de Egresos / Formatos 7 c) y d)</t>
  </si>
  <si>
    <t>e.</t>
  </si>
  <si>
    <t>Estudio actuarial de las pensiones de sus trabajadores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</si>
  <si>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</si>
  <si>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</si>
  <si>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</t>
  </si>
  <si>
    <t>Iniciativa de Ley de Ingresos o Proyecto de Presupuesto de Egresos</t>
  </si>
  <si>
    <t>Fuente de recursos para cubrir el Balance Presupuestario de Recursos Disponibles Negativo</t>
  </si>
  <si>
    <t>Número de ejercicios fiscales y acciones necesarias para cubrir el Balance Presupuestario de Recursos Disponibles negativo</t>
  </si>
  <si>
    <t>Informes Trimestrales sobre el avance de las acciones para recuperar el Balance Presupuestario de Recursos Disponibles</t>
  </si>
  <si>
    <t>Reporte Trim. Y Cuenta Pública</t>
  </si>
  <si>
    <t>Servicios Personales</t>
  </si>
  <si>
    <t xml:space="preserve">Remuneraciones de los servidores públicos </t>
  </si>
  <si>
    <t>Proyecto de Presupuesto</t>
  </si>
  <si>
    <t>Previsiones salariales y económicas para cubrir incrementos salariales, creación de plazas y otros</t>
  </si>
  <si>
    <t>INDICADORES DEL EJERCICIO PRESUPUESTARIO</t>
  </si>
  <si>
    <t xml:space="preserve">Ingresos Excedentes derivados de Ingresos de Libre Disposición </t>
  </si>
  <si>
    <t>Monto de Ingresos Excedentes derivados de ILD</t>
  </si>
  <si>
    <t>Cuenta Pública / Formato 5</t>
  </si>
  <si>
    <t>Art. 14 y 21 de la LDF</t>
  </si>
  <si>
    <t>Monto de Ingresos Excedentes derivados de ILD destinados al fin del A. 14, fracción I de la LDF</t>
  </si>
  <si>
    <t>Cuenta Pública</t>
  </si>
  <si>
    <t>Monto de Ingresos Excedentes derivados de ILD destinados al fin del A. 14, fracción II, a) de la LDF</t>
  </si>
  <si>
    <t>Monto de Ingresos Excedentes derivados de ILD destinados al fin del A.14, fracción II, b) de la LDF</t>
  </si>
  <si>
    <t>Monto de Ingresos Excedentes derivados de ILD destinados al fin del artículo noveno transitorio de la LDF</t>
  </si>
  <si>
    <t>Art. Noveno Transitorio de la LDF</t>
  </si>
  <si>
    <t>INDICADORES  CUALITATIVOS</t>
  </si>
  <si>
    <t>Análisis Costo-Beneficio para programas o proyectos de inversión mayores a 10 millones de UDIS</t>
  </si>
  <si>
    <t>Página de Internet de la Secretaría de Finanzas o Tesorería Municipal</t>
  </si>
  <si>
    <t>Art. 13 fracc. III y 21 de la LDF</t>
  </si>
  <si>
    <t>Análisis de conveniencia y análisis de transferencia de riesgos de los proyectos APPs</t>
  </si>
  <si>
    <t>Identificación de población objetivo, destino y temporalidad de subsidios</t>
  </si>
  <si>
    <t>Art. 13 fracc. VII y 21 de la LDF</t>
  </si>
  <si>
    <t>INDICADORES DE DEUDA PÚBLICA</t>
  </si>
  <si>
    <t>Obligaciones a Corto Plazo</t>
  </si>
  <si>
    <t>Límite de Obligaciones a Corto Plazo</t>
  </si>
  <si>
    <t>Art. 30 fracc. I de la LDF</t>
  </si>
  <si>
    <t>Del 1 de enero al 31 de diciembre de 2019</t>
  </si>
  <si>
    <t>Tribunal Superior de Justicia del Estado de Morelos</t>
  </si>
  <si>
    <t>LA INICIATIVA PROPUESTA PARA EL PRESUPUESTO DE INGRESOS Y PROYECTO DE EGRESOS PARA EL EJERCICIO 2019 FUE DE $ 844,766,955.00</t>
  </si>
  <si>
    <t>LOS INGRESOS RECAUDADOS ASCENDIERON A $555540930.21, Y LOS EGRESOS DEVENGADOS FUERON DE $561,201,390.71</t>
  </si>
  <si>
    <t>LOS INGRESOS RECAUDADOS ASCENDIERON A $555,540,930.21, Y LOS EGRESOS DEVENGADOS FUERON DE $561,201,390.71</t>
  </si>
  <si>
    <t>ü</t>
  </si>
  <si>
    <t>NO APLICA</t>
  </si>
  <si>
    <t>LA CIFRA REPORTADA CORRESPONDE AL GASTO DEVENGADO.</t>
  </si>
  <si>
    <t>DE $441,731,903.00 QUE INICIALMENTE SE TENIA PREVISTO AL CIERRE DEL EJERCICIO LA ASIGNACION SE AJUSTO A $368,901,807</t>
  </si>
  <si>
    <t>DURANTE ELE EJERCICIO SE HIZO USO DEL MONTO REFLEJADO PARA ADEFAS</t>
  </si>
  <si>
    <t>REMANENTE DE EJERCICIOS ANTERIORES</t>
  </si>
  <si>
    <t>EN EL ANTEPROYECTO SE HACE MENCION QUE ADICIONALMENTE SE REQUIEREN $166,038,466.00 PARA HACER FRENTE A LAS CONTROVERSIAS CONSTITUCIONALES POR DECRETOS PENSIONARIOS</t>
  </si>
  <si>
    <t>LA DRASTICA REDUCCION EN LA ASIGNACION DEL PRESUPUESTO AUTORIZADO: $149,045,000.00 MENOS RESPECTO AL AÑO ANTERIOR</t>
  </si>
  <si>
    <t>APLICACIÓN DE REMANENTES DE EJERCICOS ANTERIORES OBTENIDOS POR CANCELACION DE PROVISIONES,  ASI COMO DIFERIMIENTO DE GASTOS CON CARGO AL SIGUIENTE EJERCICIO PRESUPUESTARIO</t>
  </si>
  <si>
    <t>DEPENDE DE LA VOLUNTAD POLITICA DEL EJECUTIVO Y DEL CONGRESO LOCAL EN RESPETAR EL DECRETO MEDIANTE EL CUAL SE OTORGO LA AUTONOMIA FINANCIERA AL PODER JUDICIAL Y ASIGNEN EL PORCENTAJE QUE POR LEY LE CORRESPONDE AL TRIBUNAL SUPERIOR DE JUSTICIA</t>
  </si>
  <si>
    <t>EL PRESUPUESTO ESTIMADO AL INICIO DEL EJERCICIO SE CONSIDERO POR $576,000,000.00, EL 20/03/2019 SE APROBÒ POR LA CANTIDAD DE $500,000,000.00</t>
  </si>
  <si>
    <t xml:space="preserve">DESTINADOS A CUBRIR EL PAGO DE PENSIONES A JUBILADOS </t>
  </si>
  <si>
    <t>EL ENTE NO TIENE CONTRATADA DEUDA PUBLICA</t>
  </si>
  <si>
    <t>EL IMPORTE CORRESPONDE 6% DEL TOTAL DE INGRESOS RECAUDADOS</t>
  </si>
  <si>
    <t>Poder Judicial del Estado de Morelos (a)</t>
  </si>
  <si>
    <t>Estado Analítico de Ingresos Detallado - LDF</t>
  </si>
  <si>
    <t>Del 1 de Enero al 31 de Diciembre de 2019 (b)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</si>
  <si>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</si>
  <si>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</si>
  <si>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</si>
  <si>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</si>
  <si>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</si>
  <si>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</si>
  <si>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</si>
  <si>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</si>
  <si>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</si>
  <si>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</si>
  <si>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</si>
  <si>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</si>
  <si>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</si>
  <si>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</si>
  <si>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</si>
  <si>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</si>
  <si>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</si>
  <si>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</si>
  <si>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</si>
  <si>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</si>
  <si>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</si>
  <si>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</si>
  <si>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</si>
  <si>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</si>
  <si>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</si>
  <si>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</si>
  <si>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</si>
  <si>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</si>
  <si>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</si>
  <si>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</si>
  <si>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</si>
  <si>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</si>
  <si>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</si>
  <si>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</si>
  <si>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</si>
  <si>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</si>
  <si>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</si>
  <si>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</si>
  <si>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</si>
  <si>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</si>
  <si>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</si>
  <si>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</si>
  <si>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</si>
  <si>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</si>
  <si>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</si>
  <si>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</si>
  <si>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</si>
  <si>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</si>
  <si>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</si>
  <si>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</si>
  <si>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</si>
  <si>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</si>
  <si>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</si>
  <si>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</si>
  <si>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</si>
  <si>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</si>
  <si>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</si>
  <si>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</si>
  <si>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</si>
  <si>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</si>
  <si>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</si>
  <si>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</si>
  <si>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</si>
  <si>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</si>
  <si>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</si>
  <si>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</si>
  <si>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</si>
  <si>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</si>
  <si>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</si>
  <si>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</si>
  <si>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</si>
  <si>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</si>
  <si>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TRIBUNAL SUPERIOR DE JUSTICIA DEL PODER JUDICIAL DEL ESTADO DE MORELOS</t>
  </si>
  <si>
    <t>Proyecciones de Ingresos - LDF</t>
  </si>
  <si>
    <t xml:space="preserve">(CIFRAS NOMINALES) </t>
  </si>
  <si>
    <t xml:space="preserve">Concepto </t>
  </si>
  <si>
    <t xml:space="preserve">Año en Cuestión </t>
  </si>
  <si>
    <t xml:space="preserve">Año 1                      </t>
  </si>
  <si>
    <t>Año 2</t>
  </si>
  <si>
    <t>Año 3</t>
  </si>
  <si>
    <t>Año 4</t>
  </si>
  <si>
    <t>Año 5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</si>
  <si>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</si>
  <si>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</si>
  <si>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</si>
  <si>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</si>
  <si>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</si>
  <si>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</si>
  <si>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</si>
  <si>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</si>
  <si>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</si>
  <si>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</si>
  <si>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J.     Transferencias</t>
  </si>
  <si>
    <t>K.    Convenios</t>
  </si>
  <si>
    <t>L.     Otros Ingresos de Libre Disposición</t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</si>
  <si>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</si>
  <si>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</si>
  <si>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</si>
  <si>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</si>
  <si>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</si>
  <si>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</si>
  <si>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</si>
  <si>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</si>
  <si>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</si>
  <si>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</si>
  <si>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</si>
  <si>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</si>
  <si>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Proyección Presupuesto de Egresod del Estado</t>
  </si>
  <si>
    <t xml:space="preserve">546,584,032.00 32,459,000.00 48,309,250.00 </t>
  </si>
  <si>
    <t xml:space="preserve">4,500,000.00 25,343,008.00 </t>
  </si>
  <si>
    <t>Proyecciones de Egresos - LDF</t>
  </si>
  <si>
    <t>(CIFRAS NOMINALES)</t>
  </si>
  <si>
    <r>
      <t>1.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</si>
  <si>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</si>
  <si>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</si>
  <si>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</si>
  <si>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</si>
  <si>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</si>
  <si>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</si>
  <si>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</si>
  <si>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</si>
  <si>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</si>
  <si>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</si>
  <si>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</si>
  <si>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Total de Egresos Proyectados (3 = 1 + 2)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</si>
  <si>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Los importes corresponden a los ingresos devengados al cierre trimestral más reciente disponible y estimados para el resto del ejercicio.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</si>
  <si>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Los importes corresponden al momento contable de los ingresos devengados.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</si>
  <si>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</si>
  <si>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</si>
  <si>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</si>
  <si>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</si>
  <si>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</si>
  <si>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</si>
  <si>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</si>
  <si>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</si>
  <si>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</si>
  <si>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</si>
  <si>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</si>
  <si>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</si>
  <si>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</si>
  <si>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</si>
  <si>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</si>
  <si>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</si>
  <si>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</si>
  <si>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</si>
  <si>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</si>
  <si>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</si>
  <si>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</si>
  <si>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t>Resultados de Ingresos - LDF</t>
  </si>
  <si>
    <t>TRIBUNAL SUPERIOR DE JUSTICIA, GOBIERNO DEL ESTADO DE MORELOS</t>
  </si>
  <si>
    <t>Formato 7 c) Resultados de Ingresos - LDF</t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</si>
  <si>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</si>
  <si>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©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</si>
  <si>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</si>
  <si>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</si>
  <si>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</si>
  <si>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</si>
  <si>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t>Formato 7 d) Resultados de Egresos - LDF</t>
  </si>
  <si>
    <t>Resultados de Egresos - LDF</t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</si>
  <si>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Total del Resultado de Egresos (3=1+2)</t>
    </r>
  </si>
  <si>
    <r>
      <rPr>
        <vertAlign val="superscript"/>
        <sz val="8"/>
        <rFont val="Arial"/>
        <family val="2"/>
      </rPr>
      <t>1.</t>
    </r>
    <r>
      <rPr>
        <sz val="8"/>
        <rFont val="Arial"/>
        <family val="2"/>
      </rPr>
      <t xml:space="preserve"> Los importes corresponden a los egresos totales devengados.</t>
    </r>
  </si>
  <si>
    <r>
      <t>2.</t>
    </r>
    <r>
      <rPr>
        <sz val="8"/>
        <rFont val="Arial"/>
        <family val="2"/>
      </rPr>
      <t xml:space="preserve"> Los importes corresponden a los egresos devengados al cierre trimestral más reciente disponible y estimados para el resto del ejercicio. </t>
    </r>
  </si>
  <si>
    <t>SE REALIZO UN ESTUDIO ACTUARIAL EN 2018, SIN EMBARGO ES UNA OBLIGACION QUE CORRESPONDE A LA ENTIDAD FEDERATIVA SEGÚN NORMATIVIDAD.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</si>
</sst>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;\(#,##0\);_-* &quot;-&quot;_-"/>
    <numFmt numFmtId="165" formatCode="#,##0_ ;[Red]\-#,##0\ "/>
    <numFmt numFmtId="166" formatCode="_-* #,##0_-;\-* #,##0_-;_-* &quot;-&quot;??_-;_-@_-"/>
    <numFmt numFmtId="167" formatCode="_-* #,##0.0000_-;\-* #,##0.0000_-;_-* &quot;-&quot;??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rebuchet MS"/>
      <family val="2"/>
    </font>
    <font>
      <sz val="13"/>
      <color theme="1"/>
      <name val="Trebuchet MS"/>
      <family val="2"/>
    </font>
    <font>
      <b/>
      <sz val="13"/>
      <name val="Trebuchet MS"/>
      <family val="2"/>
    </font>
    <font>
      <sz val="15"/>
      <color theme="1"/>
      <name val="Trebuchet MS"/>
      <family val="2"/>
    </font>
    <font>
      <sz val="14"/>
      <color theme="1"/>
      <name val="Trebuchet MS"/>
      <family val="2"/>
    </font>
    <font>
      <b/>
      <sz val="15"/>
      <color theme="0"/>
      <name val="Trebuchet MS"/>
      <family val="2"/>
    </font>
    <font>
      <b/>
      <sz val="14"/>
      <color theme="0"/>
      <name val="Trebuchet MS"/>
      <family val="2"/>
    </font>
    <font>
      <b/>
      <sz val="13"/>
      <color theme="0"/>
      <name val="Trebuchet MS"/>
      <family val="2"/>
    </font>
    <font>
      <b/>
      <sz val="14"/>
      <color theme="1"/>
      <name val="Trebuchet MS"/>
      <family val="2"/>
    </font>
    <font>
      <b/>
      <i/>
      <sz val="13"/>
      <color theme="1"/>
      <name val="Trebuchet MS"/>
      <family val="2"/>
    </font>
    <font>
      <b/>
      <i/>
      <sz val="15"/>
      <color theme="1"/>
      <name val="Trebuchet MS"/>
      <family val="2"/>
    </font>
    <font>
      <b/>
      <i/>
      <sz val="14"/>
      <color theme="1"/>
      <name val="Trebuchet MS"/>
      <family val="2"/>
    </font>
    <font>
      <b/>
      <sz val="13"/>
      <color theme="1"/>
      <name val="Trebuchet MS"/>
      <family val="2"/>
    </font>
    <font>
      <b/>
      <sz val="15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sz val="7"/>
      <color theme="1"/>
      <name val="Trebuchet MS"/>
      <family val="2"/>
    </font>
    <font>
      <b/>
      <i/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  <font>
      <sz val="8"/>
      <color theme="1"/>
      <name val="Arial"/>
      <family val="2"/>
    </font>
    <font>
      <sz val="13"/>
      <color theme="1"/>
      <name val="Arial"/>
      <family val="2"/>
    </font>
    <font>
      <sz val="15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Trebuchet MS"/>
      <family val="2"/>
    </font>
    <font>
      <sz val="18"/>
      <color theme="1"/>
      <name val="Wingdings"/>
      <charset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 Narrow"/>
      <family val="2"/>
    </font>
    <font>
      <sz val="8"/>
      <color theme="1"/>
      <name val="Times New Roman"/>
      <family val="1"/>
    </font>
    <font>
      <sz val="11"/>
      <color theme="1"/>
      <name val="Arial Narrow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vertAlign val="superscript"/>
      <sz val="6"/>
      <color theme="1"/>
      <name val="Arial"/>
      <family val="2"/>
    </font>
    <font>
      <b/>
      <sz val="16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5"/>
      <name val="Trebuchet MS"/>
      <family val="2"/>
    </font>
    <font>
      <sz val="15"/>
      <name val="Trebuchet MS"/>
      <family val="2"/>
    </font>
    <font>
      <sz val="13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  <font>
      <b/>
      <i/>
      <sz val="13"/>
      <name val="Trebuchet MS"/>
      <family val="2"/>
    </font>
    <font>
      <b/>
      <i/>
      <sz val="15"/>
      <name val="Trebuchet MS"/>
      <family val="2"/>
    </font>
    <font>
      <b/>
      <i/>
      <sz val="14"/>
      <name val="Trebuchet MS"/>
      <family val="2"/>
    </font>
    <font>
      <sz val="12"/>
      <name val="Trebuchet MS"/>
      <family val="2"/>
    </font>
    <font>
      <sz val="7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8">
    <xf numFmtId="0" fontId="0" fillId="0" borderId="0" xfId="0"/>
    <xf numFmtId="0" fontId="3" fillId="0" borderId="0" xfId="0" applyFont="1" applyProtection="1">
      <protection locked="0"/>
    </xf>
    <xf numFmtId="0" fontId="10" fillId="2" borderId="26" xfId="0" applyFont="1" applyFill="1" applyBorder="1" applyAlignment="1" applyProtection="1">
      <alignment vertical="center"/>
    </xf>
    <xf numFmtId="0" fontId="14" fillId="2" borderId="14" xfId="0" applyFont="1" applyFill="1" applyBorder="1" applyAlignment="1" applyProtection="1">
      <alignment vertical="center"/>
    </xf>
    <xf numFmtId="0" fontId="15" fillId="2" borderId="14" xfId="0" applyFont="1" applyFill="1" applyBorder="1" applyAlignment="1" applyProtection="1">
      <alignment vertical="center"/>
    </xf>
    <xf numFmtId="0" fontId="10" fillId="2" borderId="14" xfId="0" applyFont="1" applyFill="1" applyBorder="1" applyAlignment="1" applyProtection="1">
      <alignment vertical="center"/>
    </xf>
    <xf numFmtId="0" fontId="10" fillId="2" borderId="27" xfId="0" applyFont="1" applyFill="1" applyBorder="1" applyAlignment="1" applyProtection="1">
      <alignment vertical="center"/>
    </xf>
    <xf numFmtId="0" fontId="16" fillId="2" borderId="26" xfId="0" applyFont="1" applyFill="1" applyBorder="1" applyAlignment="1" applyProtection="1">
      <alignment horizontal="left" vertical="top"/>
    </xf>
    <xf numFmtId="0" fontId="3" fillId="2" borderId="14" xfId="0" applyFont="1" applyFill="1" applyBorder="1" applyAlignment="1" applyProtection="1">
      <alignment horizontal="left" vertical="top"/>
    </xf>
    <xf numFmtId="0" fontId="5" fillId="2" borderId="14" xfId="0" applyFont="1" applyFill="1" applyBorder="1" applyAlignment="1" applyProtection="1">
      <alignment horizontal="left" vertical="center"/>
    </xf>
    <xf numFmtId="0" fontId="6" fillId="2" borderId="14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164" fontId="17" fillId="2" borderId="15" xfId="0" applyNumberFormat="1" applyFont="1" applyFill="1" applyBorder="1" applyAlignment="1" applyProtection="1">
      <alignment horizontal="center" vertical="center"/>
      <protection locked="0"/>
    </xf>
    <xf numFmtId="14" fontId="17" fillId="2" borderId="31" xfId="0" applyNumberFormat="1" applyFont="1" applyFill="1" applyBorder="1" applyAlignment="1" applyProtection="1">
      <alignment horizontal="center" vertical="center"/>
      <protection locked="0"/>
    </xf>
    <xf numFmtId="164" fontId="17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164" fontId="17" fillId="2" borderId="31" xfId="0" applyNumberFormat="1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164" fontId="19" fillId="2" borderId="30" xfId="0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10" fillId="2" borderId="29" xfId="0" applyFont="1" applyFill="1" applyBorder="1" applyAlignment="1" applyProtection="1">
      <alignment vertical="center"/>
    </xf>
    <xf numFmtId="0" fontId="14" fillId="2" borderId="29" xfId="0" applyFont="1" applyFill="1" applyBorder="1" applyAlignment="1" applyProtection="1">
      <alignment vertical="center"/>
    </xf>
    <xf numFmtId="164" fontId="3" fillId="2" borderId="27" xfId="0" applyNumberFormat="1" applyFont="1" applyFill="1" applyBorder="1" applyAlignment="1" applyProtection="1">
      <alignment horizontal="right" vertical="center"/>
    </xf>
    <xf numFmtId="0" fontId="3" fillId="2" borderId="13" xfId="0" applyFont="1" applyFill="1" applyBorder="1" applyAlignment="1" applyProtection="1">
      <alignment horizontal="justify" vertical="center"/>
    </xf>
    <xf numFmtId="0" fontId="3" fillId="2" borderId="13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top"/>
    </xf>
    <xf numFmtId="0" fontId="3" fillId="2" borderId="14" xfId="0" applyFont="1" applyFill="1" applyBorder="1" applyAlignment="1" applyProtection="1">
      <alignment horizontal="justify" vertical="center"/>
    </xf>
    <xf numFmtId="0" fontId="16" fillId="2" borderId="14" xfId="0" applyFont="1" applyFill="1" applyBorder="1" applyAlignment="1" applyProtection="1">
      <alignment horizontal="left" vertical="center" wrapText="1"/>
    </xf>
    <xf numFmtId="0" fontId="11" fillId="2" borderId="33" xfId="0" applyFont="1" applyFill="1" applyBorder="1" applyAlignment="1" applyProtection="1">
      <alignment horizontal="left" vertical="center"/>
    </xf>
    <xf numFmtId="0" fontId="11" fillId="2" borderId="34" xfId="0" applyFont="1" applyFill="1" applyBorder="1" applyAlignment="1" applyProtection="1">
      <alignment horizontal="left" vertical="center"/>
    </xf>
    <xf numFmtId="0" fontId="15" fillId="2" borderId="34" xfId="0" applyFont="1" applyFill="1" applyBorder="1" applyAlignment="1" applyProtection="1">
      <alignment vertical="center"/>
    </xf>
    <xf numFmtId="0" fontId="10" fillId="2" borderId="34" xfId="0" applyFont="1" applyFill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left" vertical="center"/>
    </xf>
    <xf numFmtId="0" fontId="16" fillId="2" borderId="33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6" fillId="2" borderId="34" xfId="0" applyFont="1" applyFill="1" applyBorder="1" applyAlignment="1" applyProtection="1">
      <alignment horizontal="left" vertical="center"/>
    </xf>
    <xf numFmtId="0" fontId="3" fillId="2" borderId="36" xfId="0" applyFont="1" applyFill="1" applyBorder="1" applyAlignment="1" applyProtection="1">
      <alignment horizontal="justify" vertical="center"/>
    </xf>
    <xf numFmtId="164" fontId="17" fillId="2" borderId="37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37" xfId="0" applyNumberFormat="1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left" vertical="center" wrapText="1"/>
    </xf>
    <xf numFmtId="0" fontId="11" fillId="2" borderId="26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vertical="center" wrapText="1"/>
    </xf>
    <xf numFmtId="0" fontId="11" fillId="2" borderId="29" xfId="0" applyFont="1" applyFill="1" applyBorder="1" applyAlignment="1" applyProtection="1">
      <alignment horizontal="left" vertical="center"/>
    </xf>
    <xf numFmtId="0" fontId="20" fillId="2" borderId="14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horizontal="justify" vertical="center" wrapText="1"/>
    </xf>
    <xf numFmtId="0" fontId="3" fillId="2" borderId="34" xfId="0" applyFont="1" applyFill="1" applyBorder="1" applyAlignment="1" applyProtection="1">
      <alignment horizontal="justify" vertical="center"/>
    </xf>
    <xf numFmtId="0" fontId="11" fillId="2" borderId="34" xfId="0" applyFont="1" applyFill="1" applyBorder="1" applyAlignment="1" applyProtection="1">
      <alignment horizontal="left" vertical="center" wrapText="1"/>
    </xf>
    <xf numFmtId="0" fontId="14" fillId="2" borderId="26" xfId="0" applyFont="1" applyFill="1" applyBorder="1" applyAlignment="1" applyProtection="1">
      <alignment horizontal="left" vertical="center"/>
    </xf>
    <xf numFmtId="0" fontId="14" fillId="2" borderId="14" xfId="0" applyFont="1" applyFill="1" applyBorder="1" applyAlignment="1" applyProtection="1">
      <alignment horizontal="left" vertical="center"/>
    </xf>
    <xf numFmtId="0" fontId="11" fillId="2" borderId="1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11" fillId="2" borderId="30" xfId="0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5" fillId="0" borderId="0" xfId="0" applyFont="1" applyProtection="1"/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164" fontId="17" fillId="2" borderId="15" xfId="0" applyNumberFormat="1" applyFont="1" applyFill="1" applyBorder="1" applyAlignment="1" applyProtection="1">
      <alignment horizontal="center" vertical="center" wrapText="1"/>
    </xf>
    <xf numFmtId="164" fontId="17" fillId="2" borderId="31" xfId="0" applyNumberFormat="1" applyFont="1" applyFill="1" applyBorder="1" applyAlignment="1" applyProtection="1">
      <alignment horizontal="center" vertical="center" wrapText="1"/>
    </xf>
    <xf numFmtId="164" fontId="17" fillId="2" borderId="3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64" fontId="17" fillId="2" borderId="14" xfId="0" applyNumberFormat="1" applyFont="1" applyFill="1" applyBorder="1" applyAlignment="1" applyProtection="1">
      <alignment horizontal="right" vertical="center"/>
    </xf>
    <xf numFmtId="164" fontId="17" fillId="2" borderId="14" xfId="0" applyNumberFormat="1" applyFont="1" applyFill="1" applyBorder="1" applyAlignment="1" applyProtection="1">
      <alignment horizontal="center" vertical="center" wrapText="1"/>
    </xf>
    <xf numFmtId="0" fontId="16" fillId="0" borderId="34" xfId="0" applyFont="1" applyBorder="1" applyAlignment="1" applyProtection="1">
      <alignment vertical="center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164" fontId="19" fillId="2" borderId="0" xfId="0" applyNumberFormat="1" applyFont="1" applyFill="1" applyBorder="1" applyAlignment="1" applyProtection="1">
      <alignment horizontal="right" vertical="center"/>
    </xf>
    <xf numFmtId="164" fontId="17" fillId="2" borderId="35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164" fontId="17" fillId="2" borderId="37" xfId="0" applyNumberFormat="1" applyFont="1" applyFill="1" applyBorder="1" applyAlignment="1" applyProtection="1">
      <alignment horizontal="center" vertical="center" wrapText="1"/>
    </xf>
    <xf numFmtId="164" fontId="19" fillId="2" borderId="14" xfId="0" applyNumberFormat="1" applyFont="1" applyFill="1" applyBorder="1" applyAlignment="1" applyProtection="1">
      <alignment horizontal="right" vertical="center"/>
    </xf>
    <xf numFmtId="164" fontId="17" fillId="2" borderId="29" xfId="0" applyNumberFormat="1" applyFont="1" applyFill="1" applyBorder="1" applyAlignment="1" applyProtection="1">
      <alignment horizontal="center" vertical="center" wrapText="1"/>
    </xf>
    <xf numFmtId="164" fontId="19" fillId="2" borderId="29" xfId="0" applyNumberFormat="1" applyFont="1" applyFill="1" applyBorder="1" applyAlignment="1" applyProtection="1">
      <alignment horizontal="right" vertical="center"/>
    </xf>
    <xf numFmtId="164" fontId="17" fillId="2" borderId="27" xfId="0" applyNumberFormat="1" applyFont="1" applyFill="1" applyBorder="1" applyAlignment="1" applyProtection="1">
      <alignment horizontal="center" vertical="center" wrapText="1"/>
    </xf>
    <xf numFmtId="164" fontId="17" fillId="2" borderId="34" xfId="0" applyNumberFormat="1" applyFont="1" applyFill="1" applyBorder="1" applyAlignment="1" applyProtection="1">
      <alignment horizontal="center" vertical="center" wrapText="1"/>
    </xf>
    <xf numFmtId="164" fontId="19" fillId="2" borderId="34" xfId="0" applyNumberFormat="1" applyFont="1" applyFill="1" applyBorder="1" applyAlignment="1" applyProtection="1">
      <alignment horizontal="right" vertical="center"/>
    </xf>
    <xf numFmtId="164" fontId="19" fillId="2" borderId="30" xfId="0" applyNumberFormat="1" applyFont="1" applyFill="1" applyBorder="1" applyAlignment="1" applyProtection="1">
      <alignment horizontal="right" vertical="center"/>
    </xf>
    <xf numFmtId="164" fontId="17" fillId="2" borderId="32" xfId="0" applyNumberFormat="1" applyFont="1" applyFill="1" applyBorder="1" applyAlignment="1" applyProtection="1">
      <alignment horizontal="center" vertical="center" wrapText="1"/>
    </xf>
    <xf numFmtId="0" fontId="16" fillId="2" borderId="38" xfId="0" applyFont="1" applyFill="1" applyBorder="1" applyAlignment="1" applyProtection="1">
      <alignment horizontal="left" vertical="center"/>
    </xf>
    <xf numFmtId="0" fontId="3" fillId="2" borderId="39" xfId="0" applyFont="1" applyFill="1" applyBorder="1" applyAlignment="1" applyProtection="1">
      <alignment horizontal="left" vertical="center"/>
    </xf>
    <xf numFmtId="0" fontId="5" fillId="2" borderId="39" xfId="0" applyFont="1" applyFill="1" applyBorder="1" applyAlignment="1" applyProtection="1">
      <alignment horizontal="left" vertical="center"/>
    </xf>
    <xf numFmtId="0" fontId="6" fillId="2" borderId="39" xfId="0" applyFont="1" applyFill="1" applyBorder="1" applyAlignment="1" applyProtection="1">
      <alignment horizontal="left" vertical="center"/>
    </xf>
    <xf numFmtId="0" fontId="3" fillId="2" borderId="39" xfId="0" applyFont="1" applyFill="1" applyBorder="1" applyAlignment="1" applyProtection="1">
      <alignment horizontal="justify" vertical="center"/>
    </xf>
    <xf numFmtId="0" fontId="16" fillId="2" borderId="40" xfId="0" applyFont="1" applyFill="1" applyBorder="1" applyAlignment="1" applyProtection="1">
      <alignment horizontal="justify" vertical="center"/>
    </xf>
    <xf numFmtId="164" fontId="21" fillId="2" borderId="40" xfId="1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top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164" fontId="18" fillId="2" borderId="41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27" xfId="0" applyNumberFormat="1" applyFont="1" applyFill="1" applyBorder="1" applyAlignment="1" applyProtection="1">
      <alignment horizontal="center" vertical="center" wrapText="1"/>
    </xf>
    <xf numFmtId="164" fontId="17" fillId="2" borderId="16" xfId="0" applyNumberFormat="1" applyFont="1" applyFill="1" applyBorder="1" applyAlignment="1" applyProtection="1">
      <alignment horizontal="center" vertical="center" wrapText="1"/>
    </xf>
    <xf numFmtId="164" fontId="18" fillId="2" borderId="43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42" xfId="0" applyNumberFormat="1" applyFont="1" applyFill="1" applyBorder="1" applyAlignment="1" applyProtection="1">
      <alignment horizontal="center" vertical="center" wrapText="1"/>
    </xf>
    <xf numFmtId="164" fontId="21" fillId="2" borderId="44" xfId="1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/>
    </xf>
    <xf numFmtId="0" fontId="16" fillId="2" borderId="30" xfId="0" applyFont="1" applyFill="1" applyBorder="1" applyAlignment="1" applyProtection="1">
      <alignment horizontal="center" vertical="center"/>
      <protection locked="0"/>
    </xf>
    <xf numFmtId="0" fontId="16" fillId="2" borderId="31" xfId="0" applyFont="1" applyFill="1" applyBorder="1" applyAlignment="1" applyProtection="1">
      <alignment horizontal="center" vertical="center"/>
      <protection locked="0"/>
    </xf>
    <xf numFmtId="0" fontId="16" fillId="2" borderId="31" xfId="0" applyFont="1" applyFill="1" applyBorder="1" applyAlignment="1" applyProtection="1">
      <alignment horizontal="center" vertical="center" wrapText="1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164" fontId="26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30" xfId="0" applyFont="1" applyFill="1" applyBorder="1" applyAlignment="1" applyProtection="1">
      <alignment horizontal="center" vertical="center"/>
      <protection locked="0"/>
    </xf>
    <xf numFmtId="164" fontId="26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/>
    <xf numFmtId="0" fontId="28" fillId="0" borderId="0" xfId="0" applyFont="1" applyAlignment="1">
      <alignment horizontal="right"/>
    </xf>
    <xf numFmtId="0" fontId="29" fillId="3" borderId="45" xfId="0" applyFont="1" applyFill="1" applyBorder="1" applyAlignment="1">
      <alignment horizontal="center" vertical="center"/>
    </xf>
    <xf numFmtId="0" fontId="29" fillId="3" borderId="48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165" fontId="29" fillId="0" borderId="57" xfId="0" applyNumberFormat="1" applyFont="1" applyBorder="1" applyAlignment="1">
      <alignment vertical="center"/>
    </xf>
    <xf numFmtId="165" fontId="28" fillId="0" borderId="49" xfId="0" applyNumberFormat="1" applyFont="1" applyBorder="1" applyAlignment="1">
      <alignment horizontal="right" vertical="center"/>
    </xf>
    <xf numFmtId="165" fontId="28" fillId="0" borderId="49" xfId="0" applyNumberFormat="1" applyFont="1" applyBorder="1" applyAlignment="1">
      <alignment horizontal="center" vertical="center"/>
    </xf>
    <xf numFmtId="165" fontId="28" fillId="0" borderId="57" xfId="0" applyNumberFormat="1" applyFont="1" applyBorder="1" applyAlignment="1">
      <alignment horizontal="left" vertical="center" indent="1"/>
    </xf>
    <xf numFmtId="165" fontId="28" fillId="0" borderId="57" xfId="0" applyNumberFormat="1" applyFont="1" applyBorder="1" applyAlignment="1">
      <alignment horizontal="left" vertical="center" wrapText="1" indent="1"/>
    </xf>
    <xf numFmtId="165" fontId="28" fillId="0" borderId="59" xfId="0" applyNumberFormat="1" applyFont="1" applyBorder="1" applyAlignment="1">
      <alignment horizontal="right" vertical="center"/>
    </xf>
    <xf numFmtId="165" fontId="28" fillId="0" borderId="57" xfId="0" applyNumberFormat="1" applyFont="1" applyBorder="1" applyAlignment="1">
      <alignment horizontal="left" vertical="center" indent="3"/>
    </xf>
    <xf numFmtId="165" fontId="28" fillId="0" borderId="57" xfId="0" applyNumberFormat="1" applyFont="1" applyBorder="1" applyAlignment="1">
      <alignment horizontal="left" vertical="center" wrapText="1" indent="3"/>
    </xf>
    <xf numFmtId="165" fontId="28" fillId="0" borderId="57" xfId="0" applyNumberFormat="1" applyFont="1" applyBorder="1" applyAlignment="1">
      <alignment horizontal="left" vertical="center"/>
    </xf>
    <xf numFmtId="165" fontId="29" fillId="0" borderId="57" xfId="0" applyNumberFormat="1" applyFont="1" applyBorder="1" applyAlignment="1">
      <alignment vertical="center" wrapText="1"/>
    </xf>
    <xf numFmtId="165" fontId="29" fillId="0" borderId="49" xfId="0" applyNumberFormat="1" applyFont="1" applyBorder="1" applyAlignment="1">
      <alignment horizontal="right" vertical="center"/>
    </xf>
    <xf numFmtId="165" fontId="29" fillId="0" borderId="59" xfId="0" applyNumberFormat="1" applyFont="1" applyBorder="1" applyAlignment="1">
      <alignment horizontal="right" vertical="center"/>
    </xf>
    <xf numFmtId="165" fontId="28" fillId="0" borderId="57" xfId="0" applyNumberFormat="1" applyFont="1" applyBorder="1" applyAlignment="1">
      <alignment vertical="center"/>
    </xf>
    <xf numFmtId="165" fontId="28" fillId="0" borderId="57" xfId="0" applyNumberFormat="1" applyFont="1" applyBorder="1" applyAlignment="1">
      <alignment horizontal="right" vertical="center"/>
    </xf>
    <xf numFmtId="165" fontId="28" fillId="3" borderId="49" xfId="0" applyNumberFormat="1" applyFont="1" applyFill="1" applyBorder="1" applyAlignment="1">
      <alignment horizontal="right" vertical="center"/>
    </xf>
    <xf numFmtId="165" fontId="28" fillId="3" borderId="49" xfId="0" applyNumberFormat="1" applyFont="1" applyFill="1" applyBorder="1" applyAlignment="1">
      <alignment horizontal="center" vertical="center"/>
    </xf>
    <xf numFmtId="165" fontId="28" fillId="0" borderId="49" xfId="0" applyNumberFormat="1" applyFont="1" applyBorder="1" applyAlignment="1">
      <alignment horizontal="justify" vertical="center"/>
    </xf>
    <xf numFmtId="165" fontId="28" fillId="0" borderId="60" xfId="0" applyNumberFormat="1" applyFont="1" applyBorder="1" applyAlignment="1">
      <alignment horizontal="left" vertical="center" indent="1"/>
    </xf>
    <xf numFmtId="165" fontId="28" fillId="0" borderId="61" xfId="0" applyNumberFormat="1" applyFont="1" applyBorder="1" applyAlignment="1">
      <alignment horizontal="right" vertical="center"/>
    </xf>
    <xf numFmtId="165" fontId="28" fillId="0" borderId="61" xfId="0" applyNumberFormat="1" applyFont="1" applyBorder="1" applyAlignment="1">
      <alignment horizontal="center" vertical="center"/>
    </xf>
    <xf numFmtId="165" fontId="28" fillId="0" borderId="57" xfId="0" applyNumberFormat="1" applyFont="1" applyBorder="1" applyAlignment="1">
      <alignment horizontal="left" vertical="center" wrapText="1"/>
    </xf>
    <xf numFmtId="165" fontId="28" fillId="0" borderId="58" xfId="0" applyNumberFormat="1" applyFont="1" applyBorder="1" applyAlignment="1">
      <alignment horizontal="left" vertical="center" wrapText="1"/>
    </xf>
    <xf numFmtId="165" fontId="28" fillId="0" borderId="52" xfId="0" applyNumberFormat="1" applyFont="1" applyBorder="1" applyAlignment="1">
      <alignment horizontal="right" vertical="center"/>
    </xf>
    <xf numFmtId="165" fontId="28" fillId="0" borderId="52" xfId="0" applyNumberFormat="1" applyFont="1" applyBorder="1" applyAlignment="1">
      <alignment horizontal="justify" vertical="center"/>
    </xf>
    <xf numFmtId="43" fontId="28" fillId="0" borderId="0" xfId="1" applyFont="1"/>
    <xf numFmtId="0" fontId="30" fillId="4" borderId="47" xfId="0" applyFont="1" applyFill="1" applyBorder="1" applyAlignment="1">
      <alignment horizontal="center" vertical="center" wrapText="1"/>
    </xf>
    <xf numFmtId="0" fontId="30" fillId="4" borderId="56" xfId="0" applyFont="1" applyFill="1" applyBorder="1" applyAlignment="1">
      <alignment horizontal="center" vertical="center" wrapText="1"/>
    </xf>
    <xf numFmtId="0" fontId="30" fillId="4" borderId="52" xfId="0" applyFont="1" applyFill="1" applyBorder="1" applyAlignment="1">
      <alignment horizontal="center" vertical="center" wrapText="1"/>
    </xf>
    <xf numFmtId="0" fontId="30" fillId="4" borderId="58" xfId="0" applyFont="1" applyFill="1" applyBorder="1" applyAlignment="1">
      <alignment horizontal="center" vertical="center" wrapText="1"/>
    </xf>
    <xf numFmtId="0" fontId="31" fillId="0" borderId="57" xfId="0" applyFont="1" applyFill="1" applyBorder="1" applyAlignment="1">
      <alignment horizontal="justify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32" fillId="0" borderId="57" xfId="0" applyFont="1" applyFill="1" applyBorder="1" applyAlignment="1">
      <alignment horizontal="left" vertical="center" wrapText="1" indent="1"/>
    </xf>
    <xf numFmtId="166" fontId="32" fillId="0" borderId="49" xfId="1" applyNumberFormat="1" applyFont="1" applyFill="1" applyBorder="1" applyAlignment="1">
      <alignment horizontal="center" vertical="center" wrapText="1"/>
    </xf>
    <xf numFmtId="0" fontId="34" fillId="0" borderId="57" xfId="0" applyFont="1" applyFill="1" applyBorder="1" applyAlignment="1">
      <alignment horizontal="left" vertical="center" wrapText="1" indent="3"/>
    </xf>
    <xf numFmtId="166" fontId="22" fillId="0" borderId="49" xfId="1" applyNumberFormat="1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justify" vertical="center" wrapText="1"/>
    </xf>
    <xf numFmtId="0" fontId="22" fillId="0" borderId="57" xfId="0" applyFont="1" applyFill="1" applyBorder="1" applyAlignment="1">
      <alignment horizontal="left" vertical="center" wrapText="1" indent="3"/>
    </xf>
    <xf numFmtId="0" fontId="32" fillId="0" borderId="57" xfId="0" applyFont="1" applyFill="1" applyBorder="1" applyAlignment="1">
      <alignment horizontal="left" vertical="center" wrapText="1"/>
    </xf>
    <xf numFmtId="0" fontId="22" fillId="0" borderId="57" xfId="0" applyFont="1" applyFill="1" applyBorder="1" applyAlignment="1">
      <alignment horizontal="left" vertical="center" wrapText="1"/>
    </xf>
    <xf numFmtId="0" fontId="22" fillId="0" borderId="58" xfId="0" applyFont="1" applyFill="1" applyBorder="1" applyAlignment="1">
      <alignment horizontal="left" vertical="center" wrapText="1"/>
    </xf>
    <xf numFmtId="0" fontId="31" fillId="0" borderId="52" xfId="0" applyFont="1" applyFill="1" applyBorder="1" applyAlignment="1">
      <alignment horizontal="center" vertical="center" wrapText="1"/>
    </xf>
    <xf numFmtId="166" fontId="34" fillId="0" borderId="0" xfId="1" applyNumberFormat="1" applyFont="1"/>
    <xf numFmtId="167" fontId="36" fillId="0" borderId="0" xfId="0" applyNumberFormat="1" applyFont="1"/>
    <xf numFmtId="0" fontId="36" fillId="0" borderId="0" xfId="0" applyFont="1"/>
    <xf numFmtId="9" fontId="34" fillId="0" borderId="0" xfId="2" applyFont="1"/>
    <xf numFmtId="4" fontId="0" fillId="0" borderId="0" xfId="0" applyNumberFormat="1"/>
    <xf numFmtId="0" fontId="32" fillId="0" borderId="57" xfId="0" applyFont="1" applyBorder="1" applyAlignment="1">
      <alignment horizontal="left" vertical="center" wrapText="1" indent="1"/>
    </xf>
    <xf numFmtId="166" fontId="32" fillId="0" borderId="49" xfId="0" applyNumberFormat="1" applyFont="1" applyBorder="1" applyAlignment="1">
      <alignment horizontal="justify" vertical="center" wrapText="1"/>
    </xf>
    <xf numFmtId="0" fontId="22" fillId="0" borderId="57" xfId="0" applyFont="1" applyBorder="1" applyAlignment="1">
      <alignment horizontal="left" vertical="center" wrapText="1" indent="3"/>
    </xf>
    <xf numFmtId="166" fontId="22" fillId="0" borderId="49" xfId="1" applyNumberFormat="1" applyFont="1" applyBorder="1" applyAlignment="1">
      <alignment horizontal="justify" vertical="center" wrapText="1"/>
    </xf>
    <xf numFmtId="166" fontId="31" fillId="0" borderId="49" xfId="1" applyNumberFormat="1" applyFont="1" applyBorder="1" applyAlignment="1">
      <alignment horizontal="justify" vertical="center" wrapText="1"/>
    </xf>
    <xf numFmtId="166" fontId="32" fillId="0" borderId="49" xfId="1" applyNumberFormat="1" applyFont="1" applyBorder="1" applyAlignment="1">
      <alignment horizontal="justify" vertical="center" wrapText="1"/>
    </xf>
    <xf numFmtId="0" fontId="31" fillId="0" borderId="49" xfId="0" applyFont="1" applyBorder="1" applyAlignment="1">
      <alignment horizontal="justify" vertical="center" wrapText="1"/>
    </xf>
    <xf numFmtId="0" fontId="22" fillId="0" borderId="58" xfId="0" applyFont="1" applyBorder="1" applyAlignment="1">
      <alignment horizontal="justify" vertical="center" wrapText="1"/>
    </xf>
    <xf numFmtId="0" fontId="31" fillId="0" borderId="52" xfId="0" applyFont="1" applyBorder="1" applyAlignment="1">
      <alignment horizontal="justify" vertical="center" wrapText="1"/>
    </xf>
    <xf numFmtId="167" fontId="34" fillId="0" borderId="0" xfId="1" applyNumberFormat="1" applyFont="1"/>
    <xf numFmtId="166" fontId="0" fillId="0" borderId="0" xfId="0" applyNumberFormat="1"/>
    <xf numFmtId="0" fontId="31" fillId="0" borderId="52" xfId="0" applyFont="1" applyFill="1" applyBorder="1" applyAlignment="1">
      <alignment horizontal="justify" vertical="center" wrapText="1"/>
    </xf>
    <xf numFmtId="0" fontId="31" fillId="0" borderId="58" xfId="0" applyFont="1" applyFill="1" applyBorder="1" applyAlignment="1">
      <alignment horizontal="justify" vertical="center" wrapText="1"/>
    </xf>
    <xf numFmtId="43" fontId="22" fillId="0" borderId="49" xfId="1" applyFont="1" applyFill="1" applyBorder="1" applyAlignment="1">
      <alignment horizontal="right" vertical="center" wrapText="1"/>
    </xf>
    <xf numFmtId="0" fontId="31" fillId="0" borderId="49" xfId="0" applyFont="1" applyFill="1" applyBorder="1" applyAlignment="1">
      <alignment horizontal="justify" vertical="center" wrapText="1"/>
    </xf>
    <xf numFmtId="0" fontId="30" fillId="0" borderId="57" xfId="0" applyFont="1" applyFill="1" applyBorder="1" applyAlignment="1">
      <alignment horizontal="left" vertical="center" wrapText="1"/>
    </xf>
    <xf numFmtId="0" fontId="31" fillId="0" borderId="57" xfId="0" applyFont="1" applyFill="1" applyBorder="1" applyAlignment="1">
      <alignment horizontal="left" vertical="center" wrapText="1"/>
    </xf>
    <xf numFmtId="0" fontId="30" fillId="0" borderId="57" xfId="0" applyFont="1" applyFill="1" applyBorder="1" applyAlignment="1">
      <alignment horizontal="left" vertical="center" wrapText="1" indent="1"/>
    </xf>
    <xf numFmtId="0" fontId="31" fillId="0" borderId="57" xfId="0" applyFont="1" applyFill="1" applyBorder="1" applyAlignment="1">
      <alignment horizontal="left" vertical="center" wrapText="1" indent="4"/>
    </xf>
    <xf numFmtId="43" fontId="34" fillId="0" borderId="0" xfId="0" applyNumberFormat="1" applyFont="1"/>
    <xf numFmtId="0" fontId="32" fillId="0" borderId="57" xfId="0" applyFont="1" applyBorder="1" applyAlignment="1">
      <alignment horizontal="justify" vertical="center"/>
    </xf>
    <xf numFmtId="0" fontId="22" fillId="0" borderId="49" xfId="0" applyFont="1" applyBorder="1" applyAlignment="1">
      <alignment horizontal="justify" vertical="center"/>
    </xf>
    <xf numFmtId="43" fontId="32" fillId="0" borderId="49" xfId="0" applyNumberFormat="1" applyFont="1" applyBorder="1" applyAlignment="1">
      <alignment horizontal="justify" vertical="center"/>
    </xf>
    <xf numFmtId="0" fontId="22" fillId="0" borderId="57" xfId="0" applyFont="1" applyBorder="1" applyAlignment="1">
      <alignment horizontal="justify" vertical="center"/>
    </xf>
    <xf numFmtId="43" fontId="22" fillId="0" borderId="49" xfId="1" applyFont="1" applyBorder="1" applyAlignment="1">
      <alignment horizontal="justify" vertical="center"/>
    </xf>
    <xf numFmtId="0" fontId="22" fillId="0" borderId="58" xfId="0" applyFont="1" applyBorder="1" applyAlignment="1">
      <alignment horizontal="justify" vertical="center"/>
    </xf>
    <xf numFmtId="0" fontId="22" fillId="0" borderId="52" xfId="0" applyFont="1" applyBorder="1" applyAlignment="1">
      <alignment horizontal="justify" vertical="center"/>
    </xf>
    <xf numFmtId="0" fontId="43" fillId="0" borderId="0" xfId="0" applyFont="1" applyAlignment="1">
      <alignment horizontal="justify" vertical="center"/>
    </xf>
    <xf numFmtId="0" fontId="22" fillId="0" borderId="0" xfId="0" applyFont="1"/>
    <xf numFmtId="43" fontId="22" fillId="0" borderId="0" xfId="0" applyNumberFormat="1" applyFont="1"/>
    <xf numFmtId="0" fontId="30" fillId="3" borderId="56" xfId="0" applyFont="1" applyFill="1" applyBorder="1" applyAlignment="1">
      <alignment horizontal="center" vertical="center"/>
    </xf>
    <xf numFmtId="0" fontId="30" fillId="3" borderId="58" xfId="0" applyFont="1" applyFill="1" applyBorder="1" applyAlignment="1">
      <alignment horizontal="center" vertical="center"/>
    </xf>
    <xf numFmtId="0" fontId="30" fillId="3" borderId="56" xfId="0" applyFont="1" applyFill="1" applyBorder="1" applyAlignment="1">
      <alignment horizontal="center" vertical="center" wrapText="1"/>
    </xf>
    <xf numFmtId="0" fontId="30" fillId="3" borderId="5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10" fillId="2" borderId="14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 applyAlignment="1" applyProtection="1">
      <alignment horizontal="left" vertical="center" wrapText="1"/>
    </xf>
    <xf numFmtId="0" fontId="29" fillId="3" borderId="56" xfId="0" applyFont="1" applyFill="1" applyBorder="1" applyAlignment="1">
      <alignment horizontal="center" vertical="center"/>
    </xf>
    <xf numFmtId="0" fontId="29" fillId="3" borderId="58" xfId="0" applyFont="1" applyFill="1" applyBorder="1" applyAlignment="1">
      <alignment horizontal="center" vertical="center"/>
    </xf>
    <xf numFmtId="0" fontId="29" fillId="3" borderId="45" xfId="0" applyFont="1" applyFill="1" applyBorder="1" applyAlignment="1">
      <alignment horizontal="center" vertical="center"/>
    </xf>
    <xf numFmtId="0" fontId="29" fillId="3" borderId="46" xfId="0" applyFont="1" applyFill="1" applyBorder="1" applyAlignment="1">
      <alignment horizontal="center" vertical="center"/>
    </xf>
    <xf numFmtId="0" fontId="29" fillId="3" borderId="47" xfId="0" applyFont="1" applyFill="1" applyBorder="1" applyAlignment="1">
      <alignment horizontal="center" vertical="center"/>
    </xf>
    <xf numFmtId="0" fontId="29" fillId="3" borderId="48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9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29" fillId="3" borderId="54" xfId="0" applyFont="1" applyFill="1" applyBorder="1" applyAlignment="1">
      <alignment horizontal="center" vertical="center"/>
    </xf>
    <xf numFmtId="0" fontId="29" fillId="3" borderId="55" xfId="0" applyFont="1" applyFill="1" applyBorder="1" applyAlignment="1">
      <alignment horizontal="center" vertical="center"/>
    </xf>
    <xf numFmtId="0" fontId="29" fillId="3" borderId="57" xfId="0" applyFont="1" applyFill="1" applyBorder="1" applyAlignment="1">
      <alignment horizontal="center" vertical="center"/>
    </xf>
    <xf numFmtId="0" fontId="29" fillId="3" borderId="56" xfId="0" applyFont="1" applyFill="1" applyBorder="1" applyAlignment="1">
      <alignment horizontal="center" vertical="center" wrapText="1"/>
    </xf>
    <xf numFmtId="0" fontId="29" fillId="3" borderId="58" xfId="0" applyFont="1" applyFill="1" applyBorder="1" applyAlignment="1">
      <alignment horizontal="center" vertical="center" wrapText="1"/>
    </xf>
    <xf numFmtId="0" fontId="30" fillId="4" borderId="45" xfId="0" applyFont="1" applyFill="1" applyBorder="1" applyAlignment="1">
      <alignment horizontal="center" vertical="center"/>
    </xf>
    <xf numFmtId="0" fontId="30" fillId="4" borderId="46" xfId="0" applyFont="1" applyFill="1" applyBorder="1" applyAlignment="1">
      <alignment horizontal="center" vertical="center"/>
    </xf>
    <xf numFmtId="0" fontId="30" fillId="4" borderId="47" xfId="0" applyFont="1" applyFill="1" applyBorder="1" applyAlignment="1">
      <alignment horizontal="center" vertical="center"/>
    </xf>
    <xf numFmtId="0" fontId="30" fillId="4" borderId="48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4" borderId="49" xfId="0" applyFont="1" applyFill="1" applyBorder="1" applyAlignment="1">
      <alignment horizontal="center" vertical="center"/>
    </xf>
    <xf numFmtId="0" fontId="30" fillId="4" borderId="50" xfId="0" applyFont="1" applyFill="1" applyBorder="1" applyAlignment="1">
      <alignment horizontal="center" vertical="center"/>
    </xf>
    <xf numFmtId="0" fontId="30" fillId="4" borderId="51" xfId="0" applyFont="1" applyFill="1" applyBorder="1" applyAlignment="1">
      <alignment horizontal="center" vertical="center"/>
    </xf>
    <xf numFmtId="0" fontId="30" fillId="4" borderId="52" xfId="0" applyFont="1" applyFill="1" applyBorder="1" applyAlignment="1">
      <alignment horizontal="center" vertical="center"/>
    </xf>
    <xf numFmtId="0" fontId="30" fillId="4" borderId="56" xfId="0" applyFont="1" applyFill="1" applyBorder="1" applyAlignment="1">
      <alignment horizontal="center" vertical="center"/>
    </xf>
    <xf numFmtId="0" fontId="30" fillId="4" borderId="58" xfId="0" applyFont="1" applyFill="1" applyBorder="1" applyAlignment="1">
      <alignment horizontal="center" vertical="center"/>
    </xf>
    <xf numFmtId="0" fontId="30" fillId="3" borderId="45" xfId="0" applyFont="1" applyFill="1" applyBorder="1" applyAlignment="1">
      <alignment horizontal="center" vertical="center"/>
    </xf>
    <xf numFmtId="0" fontId="30" fillId="3" borderId="46" xfId="0" applyFont="1" applyFill="1" applyBorder="1" applyAlignment="1">
      <alignment horizontal="center" vertical="center"/>
    </xf>
    <xf numFmtId="0" fontId="30" fillId="3" borderId="48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 wrapText="1"/>
    </xf>
    <xf numFmtId="0" fontId="30" fillId="3" borderId="47" xfId="0" applyFont="1" applyFill="1" applyBorder="1" applyAlignment="1">
      <alignment horizontal="center" vertical="center"/>
    </xf>
    <xf numFmtId="0" fontId="30" fillId="3" borderId="49" xfId="0" applyFont="1" applyFill="1" applyBorder="1" applyAlignment="1">
      <alignment horizontal="center" vertical="center"/>
    </xf>
    <xf numFmtId="0" fontId="30" fillId="3" borderId="50" xfId="0" applyFont="1" applyFill="1" applyBorder="1" applyAlignment="1">
      <alignment horizontal="center" vertical="center"/>
    </xf>
    <xf numFmtId="0" fontId="30" fillId="3" borderId="51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 wrapText="1"/>
    </xf>
    <xf numFmtId="0" fontId="30" fillId="3" borderId="52" xfId="0" applyFont="1" applyFill="1" applyBorder="1" applyAlignment="1">
      <alignment horizontal="center" vertical="center"/>
    </xf>
    <xf numFmtId="0" fontId="11" fillId="4" borderId="26" xfId="0" applyFont="1" applyFill="1" applyBorder="1" applyAlignment="1" applyProtection="1">
      <alignment vertical="center"/>
    </xf>
    <xf numFmtId="0" fontId="11" fillId="4" borderId="14" xfId="0" applyFont="1" applyFill="1" applyBorder="1" applyAlignment="1" applyProtection="1">
      <alignment vertical="center"/>
    </xf>
    <xf numFmtId="0" fontId="12" fillId="4" borderId="14" xfId="0" applyFont="1" applyFill="1" applyBorder="1" applyAlignment="1" applyProtection="1">
      <alignment vertical="center"/>
    </xf>
    <xf numFmtId="0" fontId="13" fillId="4" borderId="14" xfId="0" applyFont="1" applyFill="1" applyBorder="1" applyAlignment="1" applyProtection="1">
      <alignment vertical="center"/>
    </xf>
    <xf numFmtId="0" fontId="11" fillId="4" borderId="27" xfId="0" applyFont="1" applyFill="1" applyBorder="1" applyAlignment="1" applyProtection="1">
      <alignment vertical="center"/>
    </xf>
    <xf numFmtId="0" fontId="4" fillId="4" borderId="29" xfId="0" applyFont="1" applyFill="1" applyBorder="1" applyAlignment="1" applyProtection="1">
      <alignment horizontal="left" vertical="center"/>
    </xf>
    <xf numFmtId="0" fontId="4" fillId="4" borderId="28" xfId="0" applyFont="1" applyFill="1" applyBorder="1" applyAlignment="1" applyProtection="1">
      <alignment horizontal="left" vertical="center"/>
    </xf>
    <xf numFmtId="0" fontId="44" fillId="4" borderId="0" xfId="0" applyFont="1" applyFill="1" applyAlignment="1" applyProtection="1">
      <alignment vertical="center"/>
    </xf>
    <xf numFmtId="0" fontId="48" fillId="4" borderId="29" xfId="0" applyFont="1" applyFill="1" applyBorder="1" applyAlignment="1" applyProtection="1">
      <alignment vertical="center"/>
    </xf>
    <xf numFmtId="0" fontId="4" fillId="4" borderId="29" xfId="0" applyFont="1" applyFill="1" applyBorder="1" applyAlignment="1" applyProtection="1">
      <alignment vertical="center"/>
    </xf>
    <xf numFmtId="0" fontId="4" fillId="4" borderId="14" xfId="0" applyFont="1" applyFill="1" applyBorder="1" applyAlignment="1" applyProtection="1">
      <alignment horizontal="left" vertical="center"/>
    </xf>
    <xf numFmtId="164" fontId="4" fillId="4" borderId="14" xfId="0" applyNumberFormat="1" applyFont="1" applyFill="1" applyBorder="1" applyAlignment="1" applyProtection="1">
      <alignment horizontal="right" vertical="center"/>
    </xf>
    <xf numFmtId="164" fontId="4" fillId="4" borderId="27" xfId="0" applyNumberFormat="1" applyFont="1" applyFill="1" applyBorder="1" applyAlignment="1" applyProtection="1">
      <alignment horizontal="right" vertical="center"/>
    </xf>
    <xf numFmtId="0" fontId="5" fillId="4" borderId="0" xfId="0" applyFont="1" applyFill="1" applyAlignment="1" applyProtection="1">
      <alignment vertical="center"/>
    </xf>
    <xf numFmtId="164" fontId="17" fillId="4" borderId="14" xfId="0" applyNumberFormat="1" applyFont="1" applyFill="1" applyBorder="1" applyAlignment="1" applyProtection="1">
      <alignment horizontal="right" vertical="center"/>
    </xf>
    <xf numFmtId="164" fontId="3" fillId="4" borderId="27" xfId="0" applyNumberFormat="1" applyFont="1" applyFill="1" applyBorder="1" applyAlignment="1" applyProtection="1">
      <alignment horizontal="right" vertical="center"/>
    </xf>
    <xf numFmtId="0" fontId="46" fillId="4" borderId="10" xfId="0" applyFont="1" applyFill="1" applyBorder="1" applyAlignment="1" applyProtection="1">
      <alignment horizontal="left" vertical="center"/>
    </xf>
    <xf numFmtId="0" fontId="46" fillId="4" borderId="0" xfId="0" applyFont="1" applyFill="1" applyBorder="1" applyAlignment="1" applyProtection="1">
      <alignment horizontal="left" vertical="center"/>
    </xf>
    <xf numFmtId="0" fontId="45" fillId="4" borderId="0" xfId="0" applyFont="1" applyFill="1" applyAlignment="1" applyProtection="1">
      <alignment vertical="center"/>
    </xf>
    <xf numFmtId="0" fontId="48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164" fontId="52" fillId="4" borderId="14" xfId="0" applyNumberFormat="1" applyFont="1" applyFill="1" applyBorder="1" applyAlignment="1" applyProtection="1">
      <alignment horizontal="right" vertical="center"/>
    </xf>
    <xf numFmtId="164" fontId="46" fillId="4" borderId="27" xfId="0" applyNumberFormat="1" applyFont="1" applyFill="1" applyBorder="1" applyAlignment="1" applyProtection="1">
      <alignment horizontal="right" vertical="center"/>
    </xf>
    <xf numFmtId="164" fontId="53" fillId="4" borderId="27" xfId="0" applyNumberFormat="1" applyFont="1" applyFill="1" applyBorder="1" applyAlignment="1" applyProtection="1">
      <alignment horizontal="right" vertical="center"/>
    </xf>
    <xf numFmtId="0" fontId="3" fillId="4" borderId="33" xfId="0" applyFont="1" applyFill="1" applyBorder="1" applyAlignment="1" applyProtection="1">
      <alignment horizontal="left" vertical="center"/>
    </xf>
    <xf numFmtId="0" fontId="3" fillId="4" borderId="34" xfId="0" applyFont="1" applyFill="1" applyBorder="1" applyAlignment="1" applyProtection="1">
      <alignment horizontal="left" vertical="center"/>
    </xf>
    <xf numFmtId="0" fontId="10" fillId="4" borderId="34" xfId="0" applyFont="1" applyFill="1" applyBorder="1" applyAlignment="1" applyProtection="1">
      <alignment vertical="center"/>
    </xf>
    <xf numFmtId="0" fontId="14" fillId="4" borderId="34" xfId="0" applyFont="1" applyFill="1" applyBorder="1" applyAlignment="1" applyProtection="1">
      <alignment vertical="center"/>
    </xf>
    <xf numFmtId="0" fontId="46" fillId="4" borderId="33" xfId="0" applyFont="1" applyFill="1" applyBorder="1" applyAlignment="1" applyProtection="1">
      <alignment horizontal="left" vertical="center"/>
    </xf>
    <xf numFmtId="0" fontId="46" fillId="4" borderId="34" xfId="0" applyFont="1" applyFill="1" applyBorder="1" applyAlignment="1" applyProtection="1">
      <alignment horizontal="left" vertical="center"/>
    </xf>
    <xf numFmtId="0" fontId="45" fillId="4" borderId="34" xfId="0" applyFont="1" applyFill="1" applyBorder="1" applyAlignment="1" applyProtection="1">
      <alignment vertical="center"/>
    </xf>
    <xf numFmtId="0" fontId="48" fillId="4" borderId="34" xfId="0" applyFont="1" applyFill="1" applyBorder="1" applyAlignment="1" applyProtection="1">
      <alignment vertical="center"/>
    </xf>
    <xf numFmtId="0" fontId="4" fillId="4" borderId="34" xfId="0" applyFont="1" applyFill="1" applyBorder="1" applyAlignment="1" applyProtection="1">
      <alignment vertical="center"/>
    </xf>
    <xf numFmtId="0" fontId="5" fillId="4" borderId="14" xfId="0" applyFont="1" applyFill="1" applyBorder="1" applyAlignment="1" applyProtection="1">
      <alignment vertical="center"/>
    </xf>
    <xf numFmtId="0" fontId="19" fillId="4" borderId="14" xfId="0" applyFont="1" applyFill="1" applyBorder="1" applyAlignment="1" applyProtection="1">
      <alignment vertical="center"/>
    </xf>
    <xf numFmtId="0" fontId="11" fillId="4" borderId="26" xfId="0" applyFont="1" applyFill="1" applyBorder="1" applyAlignment="1" applyProtection="1">
      <alignment horizontal="left" vertical="center"/>
    </xf>
    <xf numFmtId="0" fontId="11" fillId="4" borderId="14" xfId="0" applyFont="1" applyFill="1" applyBorder="1" applyAlignment="1" applyProtection="1">
      <alignment horizontal="left" vertical="center"/>
    </xf>
    <xf numFmtId="0" fontId="5" fillId="4" borderId="14" xfId="0" applyFont="1" applyFill="1" applyBorder="1" applyAlignment="1" applyProtection="1">
      <alignment horizontal="left" vertical="center"/>
    </xf>
    <xf numFmtId="0" fontId="10" fillId="4" borderId="14" xfId="0" applyFont="1" applyFill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justify" vertical="center"/>
    </xf>
    <xf numFmtId="0" fontId="11" fillId="4" borderId="14" xfId="0" applyFont="1" applyFill="1" applyBorder="1" applyAlignment="1" applyProtection="1">
      <alignment horizontal="left" vertical="center" wrapText="1"/>
    </xf>
    <xf numFmtId="164" fontId="17" fillId="4" borderId="14" xfId="0" applyNumberFormat="1" applyFont="1" applyFill="1" applyBorder="1" applyAlignment="1" applyProtection="1">
      <alignment horizontal="center" vertical="center" wrapText="1"/>
    </xf>
    <xf numFmtId="164" fontId="19" fillId="4" borderId="14" xfId="0" applyNumberFormat="1" applyFont="1" applyFill="1" applyBorder="1" applyAlignment="1" applyProtection="1">
      <alignment horizontal="right" vertical="center"/>
    </xf>
    <xf numFmtId="164" fontId="17" fillId="4" borderId="27" xfId="0" applyNumberFormat="1" applyFont="1" applyFill="1" applyBorder="1" applyAlignment="1" applyProtection="1">
      <alignment horizontal="center" vertical="center" wrapText="1"/>
    </xf>
    <xf numFmtId="0" fontId="11" fillId="5" borderId="33" xfId="0" applyFont="1" applyFill="1" applyBorder="1" applyAlignment="1" applyProtection="1">
      <alignment horizontal="left" vertical="center"/>
    </xf>
    <xf numFmtId="0" fontId="11" fillId="5" borderId="34" xfId="0" applyFont="1" applyFill="1" applyBorder="1" applyAlignment="1" applyProtection="1">
      <alignment horizontal="left" vertical="center"/>
    </xf>
    <xf numFmtId="0" fontId="12" fillId="5" borderId="14" xfId="0" applyFont="1" applyFill="1" applyBorder="1" applyAlignment="1" applyProtection="1">
      <alignment vertical="center"/>
    </xf>
    <xf numFmtId="0" fontId="13" fillId="5" borderId="34" xfId="0" applyFont="1" applyFill="1" applyBorder="1" applyAlignment="1" applyProtection="1">
      <alignment vertical="center"/>
    </xf>
    <xf numFmtId="0" fontId="11" fillId="5" borderId="34" xfId="0" applyFont="1" applyFill="1" applyBorder="1" applyAlignment="1" applyProtection="1">
      <alignment vertical="center"/>
    </xf>
    <xf numFmtId="164" fontId="19" fillId="5" borderId="14" xfId="0" applyNumberFormat="1" applyFont="1" applyFill="1" applyBorder="1" applyAlignment="1" applyProtection="1">
      <alignment horizontal="right" vertical="center"/>
    </xf>
    <xf numFmtId="164" fontId="11" fillId="5" borderId="27" xfId="0" applyNumberFormat="1" applyFont="1" applyFill="1" applyBorder="1" applyAlignment="1" applyProtection="1">
      <alignment horizontal="right" vertical="center"/>
    </xf>
    <xf numFmtId="0" fontId="11" fillId="5" borderId="26" xfId="0" applyFont="1" applyFill="1" applyBorder="1" applyAlignment="1" applyProtection="1">
      <alignment vertical="center"/>
    </xf>
    <xf numFmtId="0" fontId="11" fillId="5" borderId="14" xfId="0" applyFont="1" applyFill="1" applyBorder="1" applyAlignment="1" applyProtection="1">
      <alignment vertical="center"/>
    </xf>
    <xf numFmtId="0" fontId="13" fillId="5" borderId="14" xfId="0" applyFont="1" applyFill="1" applyBorder="1" applyAlignment="1" applyProtection="1">
      <alignment vertical="center"/>
    </xf>
    <xf numFmtId="0" fontId="19" fillId="5" borderId="14" xfId="0" applyFont="1" applyFill="1" applyBorder="1" applyAlignment="1" applyProtection="1">
      <alignment vertical="center"/>
    </xf>
    <xf numFmtId="0" fontId="11" fillId="5" borderId="27" xfId="0" applyFont="1" applyFill="1" applyBorder="1" applyAlignment="1" applyProtection="1">
      <alignment vertical="center"/>
    </xf>
    <xf numFmtId="0" fontId="11" fillId="5" borderId="34" xfId="0" applyFont="1" applyFill="1" applyBorder="1" applyAlignment="1" applyProtection="1">
      <alignment horizontal="left" vertical="center"/>
    </xf>
    <xf numFmtId="0" fontId="11" fillId="5" borderId="14" xfId="0" applyFont="1" applyFill="1" applyBorder="1" applyAlignment="1" applyProtection="1">
      <alignment horizontal="justify" vertical="center"/>
    </xf>
    <xf numFmtId="0" fontId="49" fillId="5" borderId="26" xfId="0" applyFont="1" applyFill="1" applyBorder="1" applyAlignment="1" applyProtection="1">
      <alignment vertical="center"/>
    </xf>
    <xf numFmtId="0" fontId="49" fillId="5" borderId="14" xfId="0" applyFont="1" applyFill="1" applyBorder="1" applyAlignment="1" applyProtection="1">
      <alignment vertical="center"/>
    </xf>
    <xf numFmtId="0" fontId="50" fillId="5" borderId="14" xfId="0" applyFont="1" applyFill="1" applyBorder="1" applyAlignment="1" applyProtection="1">
      <alignment vertical="center"/>
    </xf>
    <xf numFmtId="0" fontId="51" fillId="5" borderId="14" xfId="0" applyFont="1" applyFill="1" applyBorder="1" applyAlignment="1" applyProtection="1">
      <alignment vertical="center"/>
    </xf>
    <xf numFmtId="0" fontId="49" fillId="5" borderId="27" xfId="0" applyFont="1" applyFill="1" applyBorder="1" applyAlignment="1" applyProtection="1">
      <alignment vertical="center"/>
    </xf>
    <xf numFmtId="0" fontId="48" fillId="0" borderId="26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4" fillId="0" borderId="14" xfId="0" applyFont="1" applyFill="1" applyBorder="1" applyAlignment="1" applyProtection="1">
      <alignment vertical="center"/>
    </xf>
    <xf numFmtId="0" fontId="48" fillId="0" borderId="14" xfId="0" applyFont="1" applyFill="1" applyBorder="1" applyAlignment="1" applyProtection="1">
      <alignment vertical="center"/>
    </xf>
    <xf numFmtId="0" fontId="48" fillId="0" borderId="27" xfId="0" applyFont="1" applyFill="1" applyBorder="1" applyAlignment="1" applyProtection="1">
      <alignment vertical="center"/>
    </xf>
    <xf numFmtId="0" fontId="45" fillId="0" borderId="22" xfId="0" applyFont="1" applyFill="1" applyBorder="1" applyAlignment="1" applyProtection="1">
      <alignment horizontal="left" vertical="center" wrapText="1"/>
    </xf>
    <xf numFmtId="0" fontId="46" fillId="0" borderId="23" xfId="0" applyFont="1" applyFill="1" applyBorder="1" applyAlignment="1" applyProtection="1">
      <alignment horizontal="left" vertical="center" wrapText="1"/>
    </xf>
    <xf numFmtId="0" fontId="45" fillId="0" borderId="23" xfId="0" applyFont="1" applyFill="1" applyBorder="1" applyAlignment="1" applyProtection="1">
      <alignment horizontal="left" vertical="center" wrapText="1"/>
    </xf>
    <xf numFmtId="0" fontId="47" fillId="0" borderId="23" xfId="0" applyFont="1" applyFill="1" applyBorder="1" applyAlignment="1" applyProtection="1">
      <alignment horizontal="left" vertical="center" wrapText="1"/>
    </xf>
    <xf numFmtId="0" fontId="46" fillId="0" borderId="23" xfId="0" applyFont="1" applyFill="1" applyBorder="1" applyAlignment="1" applyProtection="1">
      <alignment horizontal="justify" vertical="center" wrapText="1"/>
    </xf>
    <xf numFmtId="0" fontId="45" fillId="0" borderId="23" xfId="0" applyFont="1" applyFill="1" applyBorder="1" applyAlignment="1" applyProtection="1">
      <alignment horizontal="justify" vertical="center" wrapText="1"/>
    </xf>
    <xf numFmtId="0" fontId="45" fillId="0" borderId="24" xfId="0" applyFont="1" applyFill="1" applyBorder="1" applyAlignment="1" applyProtection="1">
      <alignment horizontal="justify" vertical="center" wrapText="1"/>
    </xf>
    <xf numFmtId="0" fontId="45" fillId="0" borderId="25" xfId="0" applyFont="1" applyFill="1" applyBorder="1" applyAlignment="1" applyProtection="1">
      <alignment horizontal="justify" vertical="center" wrapText="1"/>
    </xf>
    <xf numFmtId="0" fontId="48" fillId="6" borderId="26" xfId="0" applyFont="1" applyFill="1" applyBorder="1" applyAlignment="1" applyProtection="1">
      <alignment vertical="center"/>
    </xf>
    <xf numFmtId="0" fontId="4" fillId="6" borderId="14" xfId="0" applyFont="1" applyFill="1" applyBorder="1" applyAlignment="1" applyProtection="1">
      <alignment vertical="center"/>
    </xf>
    <xf numFmtId="0" fontId="44" fillId="6" borderId="14" xfId="0" applyFont="1" applyFill="1" applyBorder="1" applyAlignment="1" applyProtection="1">
      <alignment vertical="center"/>
    </xf>
    <xf numFmtId="0" fontId="48" fillId="6" borderId="14" xfId="0" applyFont="1" applyFill="1" applyBorder="1" applyAlignment="1" applyProtection="1">
      <alignment vertical="center"/>
    </xf>
    <xf numFmtId="0" fontId="48" fillId="6" borderId="27" xfId="0" applyFont="1" applyFill="1" applyBorder="1" applyAlignment="1" applyProtection="1">
      <alignment vertical="center"/>
    </xf>
    <xf numFmtId="0" fontId="44" fillId="6" borderId="1" xfId="0" applyFont="1" applyFill="1" applyBorder="1" applyAlignment="1" applyProtection="1">
      <alignment horizontal="center" vertical="center"/>
    </xf>
    <xf numFmtId="0" fontId="44" fillId="6" borderId="2" xfId="0" applyFont="1" applyFill="1" applyBorder="1" applyAlignment="1" applyProtection="1">
      <alignment horizontal="center" vertical="center"/>
    </xf>
    <xf numFmtId="0" fontId="44" fillId="6" borderId="3" xfId="0" applyFont="1" applyFill="1" applyBorder="1" applyAlignment="1" applyProtection="1">
      <alignment horizontal="center" vertical="center"/>
    </xf>
    <xf numFmtId="0" fontId="44" fillId="6" borderId="4" xfId="0" applyFont="1" applyFill="1" applyBorder="1" applyAlignment="1" applyProtection="1">
      <alignment horizontal="center" vertical="center" wrapText="1"/>
    </xf>
    <xf numFmtId="0" fontId="44" fillId="6" borderId="5" xfId="0" applyFont="1" applyFill="1" applyBorder="1" applyAlignment="1" applyProtection="1">
      <alignment horizontal="center" vertical="center" wrapText="1"/>
    </xf>
    <xf numFmtId="0" fontId="44" fillId="6" borderId="6" xfId="0" applyFont="1" applyFill="1" applyBorder="1" applyAlignment="1" applyProtection="1">
      <alignment horizontal="center" vertical="center" wrapText="1"/>
    </xf>
    <xf numFmtId="0" fontId="44" fillId="6" borderId="7" xfId="0" applyFont="1" applyFill="1" applyBorder="1" applyAlignment="1" applyProtection="1">
      <alignment horizontal="center" vertical="center" wrapText="1"/>
    </xf>
    <xf numFmtId="0" fontId="44" fillId="6" borderId="2" xfId="0" applyFont="1" applyFill="1" applyBorder="1" applyAlignment="1" applyProtection="1">
      <alignment horizontal="center" vertical="center" wrapText="1"/>
    </xf>
    <xf numFmtId="0" fontId="44" fillId="6" borderId="8" xfId="0" applyFont="1" applyFill="1" applyBorder="1" applyAlignment="1" applyProtection="1">
      <alignment horizontal="center" vertical="center" wrapText="1"/>
    </xf>
    <xf numFmtId="0" fontId="44" fillId="6" borderId="9" xfId="0" applyFont="1" applyFill="1" applyBorder="1" applyAlignment="1" applyProtection="1">
      <alignment horizontal="center" vertical="center" wrapText="1"/>
    </xf>
    <xf numFmtId="0" fontId="44" fillId="6" borderId="10" xfId="0" applyFont="1" applyFill="1" applyBorder="1" applyAlignment="1" applyProtection="1">
      <alignment horizontal="center" vertical="center"/>
    </xf>
    <xf numFmtId="0" fontId="44" fillId="6" borderId="0" xfId="0" applyFont="1" applyFill="1" applyBorder="1" applyAlignment="1" applyProtection="1">
      <alignment horizontal="center" vertical="center"/>
    </xf>
    <xf numFmtId="0" fontId="44" fillId="6" borderId="11" xfId="0" applyFont="1" applyFill="1" applyBorder="1" applyAlignment="1" applyProtection="1">
      <alignment horizontal="center" vertical="center"/>
    </xf>
    <xf numFmtId="0" fontId="44" fillId="6" borderId="12" xfId="0" applyFont="1" applyFill="1" applyBorder="1" applyAlignment="1" applyProtection="1">
      <alignment horizontal="center" vertical="center"/>
    </xf>
    <xf numFmtId="0" fontId="44" fillId="6" borderId="13" xfId="0" applyFont="1" applyFill="1" applyBorder="1" applyAlignment="1" applyProtection="1">
      <alignment horizontal="center" vertical="center"/>
    </xf>
    <xf numFmtId="0" fontId="44" fillId="6" borderId="12" xfId="0" applyFont="1" applyFill="1" applyBorder="1" applyAlignment="1" applyProtection="1">
      <alignment horizontal="center" vertical="center" wrapText="1"/>
    </xf>
    <xf numFmtId="0" fontId="44" fillId="6" borderId="14" xfId="0" applyFont="1" applyFill="1" applyBorder="1" applyAlignment="1" applyProtection="1">
      <alignment horizontal="center" vertical="center" wrapText="1"/>
    </xf>
    <xf numFmtId="0" fontId="44" fillId="6" borderId="15" xfId="0" applyFont="1" applyFill="1" applyBorder="1" applyAlignment="1" applyProtection="1">
      <alignment horizontal="center" vertical="center" wrapText="1"/>
    </xf>
    <xf numFmtId="0" fontId="44" fillId="6" borderId="16" xfId="0" applyFont="1" applyFill="1" applyBorder="1" applyAlignment="1" applyProtection="1">
      <alignment horizontal="center" vertical="center" wrapText="1"/>
    </xf>
    <xf numFmtId="0" fontId="44" fillId="6" borderId="17" xfId="0" applyFont="1" applyFill="1" applyBorder="1" applyAlignment="1" applyProtection="1">
      <alignment horizontal="center" vertical="center"/>
    </xf>
    <xf numFmtId="0" fontId="44" fillId="6" borderId="18" xfId="0" applyFont="1" applyFill="1" applyBorder="1" applyAlignment="1" applyProtection="1">
      <alignment horizontal="center" vertical="center"/>
    </xf>
    <xf numFmtId="0" fontId="44" fillId="6" borderId="19" xfId="0" applyFont="1" applyFill="1" applyBorder="1" applyAlignment="1" applyProtection="1">
      <alignment horizontal="center" vertical="center"/>
    </xf>
    <xf numFmtId="0" fontId="44" fillId="6" borderId="19" xfId="0" applyFont="1" applyFill="1" applyBorder="1" applyAlignment="1" applyProtection="1">
      <alignment horizontal="center" vertical="center"/>
    </xf>
    <xf numFmtId="0" fontId="44" fillId="6" borderId="20" xfId="0" applyFont="1" applyFill="1" applyBorder="1" applyAlignment="1" applyProtection="1">
      <alignment horizontal="center" vertical="center" wrapText="1"/>
    </xf>
    <xf numFmtId="0" fontId="44" fillId="6" borderId="18" xfId="0" applyFont="1" applyFill="1" applyBorder="1" applyAlignment="1" applyProtection="1">
      <alignment horizontal="center" vertical="center" wrapText="1"/>
    </xf>
    <xf numFmtId="0" fontId="44" fillId="6" borderId="20" xfId="0" applyFont="1" applyFill="1" applyBorder="1" applyAlignment="1" applyProtection="1">
      <alignment horizontal="center" vertical="center" wrapText="1"/>
    </xf>
    <xf numFmtId="0" fontId="44" fillId="6" borderId="21" xfId="0" applyFont="1" applyFill="1" applyBorder="1" applyAlignment="1" applyProtection="1">
      <alignment horizontal="center" vertical="center" wrapText="1"/>
    </xf>
    <xf numFmtId="0" fontId="8" fillId="6" borderId="26" xfId="0" applyFont="1" applyFill="1" applyBorder="1" applyAlignment="1" applyProtection="1">
      <alignment vertical="center"/>
    </xf>
    <xf numFmtId="0" fontId="9" fillId="6" borderId="14" xfId="0" applyFont="1" applyFill="1" applyBorder="1" applyAlignment="1" applyProtection="1">
      <alignment vertical="center"/>
    </xf>
    <xf numFmtId="0" fontId="7" fillId="6" borderId="14" xfId="0" applyFont="1" applyFill="1" applyBorder="1" applyAlignment="1" applyProtection="1">
      <alignment vertical="center"/>
    </xf>
    <xf numFmtId="0" fontId="8" fillId="6" borderId="14" xfId="0" applyFont="1" applyFill="1" applyBorder="1" applyAlignment="1" applyProtection="1">
      <alignment vertical="center"/>
    </xf>
    <xf numFmtId="0" fontId="8" fillId="6" borderId="27" xfId="0" applyFont="1" applyFill="1" applyBorder="1" applyAlignment="1" applyProtection="1">
      <alignment vertical="center"/>
    </xf>
    <xf numFmtId="0" fontId="3" fillId="5" borderId="33" xfId="0" applyFont="1" applyFill="1" applyBorder="1" applyAlignment="1" applyProtection="1">
      <alignment horizontal="left" vertical="center"/>
    </xf>
    <xf numFmtId="0" fontId="3" fillId="5" borderId="34" xfId="0" applyFont="1" applyFill="1" applyBorder="1" applyAlignment="1" applyProtection="1">
      <alignment horizontal="left" vertical="center"/>
    </xf>
    <xf numFmtId="0" fontId="5" fillId="5" borderId="0" xfId="0" applyFont="1" applyFill="1" applyAlignment="1" applyProtection="1">
      <alignment vertical="center"/>
    </xf>
    <xf numFmtId="0" fontId="10" fillId="5" borderId="34" xfId="0" applyFont="1" applyFill="1" applyBorder="1" applyAlignment="1" applyProtection="1">
      <alignment vertical="center"/>
    </xf>
    <xf numFmtId="0" fontId="14" fillId="5" borderId="34" xfId="0" applyFont="1" applyFill="1" applyBorder="1" applyAlignment="1" applyProtection="1">
      <alignment vertical="center"/>
    </xf>
    <xf numFmtId="164" fontId="17" fillId="5" borderId="14" xfId="0" applyNumberFormat="1" applyFont="1" applyFill="1" applyBorder="1" applyAlignment="1" applyProtection="1">
      <alignment horizontal="right" vertical="center"/>
    </xf>
    <xf numFmtId="164" fontId="3" fillId="5" borderId="27" xfId="0" applyNumberFormat="1" applyFont="1" applyFill="1" applyBorder="1" applyAlignment="1" applyProtection="1">
      <alignment horizontal="righ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705097</xdr:colOff>
      <xdr:row>0</xdr:row>
      <xdr:rowOff>49481</xdr:rowOff>
    </xdr:from>
    <xdr:to>
      <xdr:col>4</xdr:col>
      <xdr:colOff>1818409</xdr:colOff>
      <xdr:row>4</xdr:row>
      <xdr:rowOff>37111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896" y="49481"/>
          <a:ext cx="1113312" cy="1113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zoomScale="77" zoomScaleNormal="77" workbookViewId="0">
      <selection activeCell="E48" sqref="E48"/>
    </sheetView>
  </sheetViews>
  <sheetFormatPr baseColWidth="10" defaultRowHeight="18.75" x14ac:dyDescent="0.25"/>
  <cols>
    <col min="1" max="1" width="3.140625" style="62" customWidth="1"/>
    <col min="2" max="2" width="3.140625" style="63" customWidth="1"/>
    <col min="3" max="3" width="3.140625" style="64" customWidth="1"/>
    <col min="4" max="4" width="3" style="65" customWidth="1"/>
    <col min="5" max="5" width="73.5703125" style="66" customWidth="1"/>
    <col min="6" max="6" width="3.7109375" style="67" customWidth="1"/>
    <col min="7" max="7" width="34.85546875" style="68" customWidth="1"/>
    <col min="8" max="8" width="3.7109375" style="67" customWidth="1"/>
    <col min="9" max="9" width="24.5703125" style="67" customWidth="1"/>
    <col min="10" max="10" width="19.85546875" style="67" customWidth="1"/>
    <col min="11" max="11" width="26.140625" style="67" customWidth="1"/>
    <col min="12" max="12" width="27.85546875" style="68" customWidth="1"/>
    <col min="13" max="13" width="32.28515625" style="67" customWidth="1"/>
    <col min="14" max="16384" width="11.42578125" style="69"/>
  </cols>
  <sheetData>
    <row r="1" spans="1:13" s="1" customFormat="1" ht="21.75" customHeight="1" x14ac:dyDescent="0.35">
      <c r="A1" s="210" t="s">
        <v>102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s="71" customFormat="1" ht="21.75" customHeight="1" x14ac:dyDescent="0.35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</row>
    <row r="3" spans="1:13" s="71" customFormat="1" ht="24.75" customHeight="1" x14ac:dyDescent="0.35">
      <c r="A3" s="212" t="s">
        <v>101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3" s="71" customFormat="1" ht="21.75" customHeight="1" x14ac:dyDescent="0.35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70"/>
      <c r="M4" s="117"/>
    </row>
    <row r="5" spans="1:13" s="72" customFormat="1" ht="4.5" customHeight="1" thickBot="1" x14ac:dyDescent="0.4">
      <c r="C5" s="73"/>
      <c r="D5" s="74"/>
      <c r="E5" s="75"/>
      <c r="G5" s="75"/>
      <c r="L5" s="75"/>
    </row>
    <row r="6" spans="1:13" s="76" customFormat="1" ht="23.25" customHeight="1" thickTop="1" x14ac:dyDescent="0.35">
      <c r="A6" s="339" t="s">
        <v>1</v>
      </c>
      <c r="B6" s="340"/>
      <c r="C6" s="340"/>
      <c r="D6" s="340"/>
      <c r="E6" s="341"/>
      <c r="F6" s="342" t="s">
        <v>2</v>
      </c>
      <c r="G6" s="343"/>
      <c r="H6" s="343"/>
      <c r="I6" s="344"/>
      <c r="J6" s="345" t="s">
        <v>3</v>
      </c>
      <c r="K6" s="346"/>
      <c r="L6" s="347" t="s">
        <v>4</v>
      </c>
      <c r="M6" s="348" t="s">
        <v>5</v>
      </c>
    </row>
    <row r="7" spans="1:13" s="76" customFormat="1" ht="23.25" customHeight="1" x14ac:dyDescent="0.35">
      <c r="A7" s="349"/>
      <c r="B7" s="350"/>
      <c r="C7" s="350"/>
      <c r="D7" s="350"/>
      <c r="E7" s="351"/>
      <c r="F7" s="352" t="s">
        <v>6</v>
      </c>
      <c r="G7" s="353"/>
      <c r="H7" s="352" t="s">
        <v>7</v>
      </c>
      <c r="I7" s="353"/>
      <c r="J7" s="354"/>
      <c r="K7" s="355"/>
      <c r="L7" s="356"/>
      <c r="M7" s="357"/>
    </row>
    <row r="8" spans="1:13" s="76" customFormat="1" ht="48.75" customHeight="1" x14ac:dyDescent="0.35">
      <c r="A8" s="358"/>
      <c r="B8" s="359"/>
      <c r="C8" s="359"/>
      <c r="D8" s="359"/>
      <c r="E8" s="360"/>
      <c r="F8" s="361"/>
      <c r="G8" s="362" t="s">
        <v>8</v>
      </c>
      <c r="H8" s="362"/>
      <c r="I8" s="362" t="s">
        <v>9</v>
      </c>
      <c r="J8" s="362" t="s">
        <v>10</v>
      </c>
      <c r="K8" s="363" t="s">
        <v>11</v>
      </c>
      <c r="L8" s="364"/>
      <c r="M8" s="365"/>
    </row>
    <row r="9" spans="1:13" s="76" customFormat="1" ht="3.75" customHeight="1" x14ac:dyDescent="0.35">
      <c r="A9" s="326"/>
      <c r="B9" s="327"/>
      <c r="C9" s="328"/>
      <c r="D9" s="329"/>
      <c r="E9" s="330"/>
      <c r="F9" s="331"/>
      <c r="G9" s="332"/>
      <c r="H9" s="332"/>
      <c r="I9" s="332"/>
      <c r="J9" s="332"/>
      <c r="K9" s="331"/>
      <c r="L9" s="331"/>
      <c r="M9" s="333"/>
    </row>
    <row r="10" spans="1:13" s="77" customFormat="1" ht="22.5" customHeight="1" x14ac:dyDescent="0.25">
      <c r="A10" s="334"/>
      <c r="B10" s="335" t="s">
        <v>12</v>
      </c>
      <c r="C10" s="336"/>
      <c r="D10" s="337"/>
      <c r="E10" s="335"/>
      <c r="F10" s="337"/>
      <c r="G10" s="337"/>
      <c r="H10" s="337"/>
      <c r="I10" s="337"/>
      <c r="J10" s="337"/>
      <c r="K10" s="337"/>
      <c r="L10" s="337"/>
      <c r="M10" s="338"/>
    </row>
    <row r="11" spans="1:13" s="78" customFormat="1" ht="22.5" customHeight="1" x14ac:dyDescent="0.25">
      <c r="A11" s="316" t="s">
        <v>13</v>
      </c>
      <c r="B11" s="317"/>
      <c r="C11" s="318" t="s">
        <v>14</v>
      </c>
      <c r="D11" s="319"/>
      <c r="E11" s="317"/>
      <c r="F11" s="317"/>
      <c r="G11" s="317"/>
      <c r="H11" s="317"/>
      <c r="I11" s="317"/>
      <c r="J11" s="317"/>
      <c r="K11" s="317"/>
      <c r="L11" s="317"/>
      <c r="M11" s="320"/>
    </row>
    <row r="12" spans="1:13" s="77" customFormat="1" ht="3" customHeight="1" x14ac:dyDescent="0.25">
      <c r="A12" s="321"/>
      <c r="B12" s="322"/>
      <c r="C12" s="323"/>
      <c r="D12" s="324"/>
      <c r="E12" s="322"/>
      <c r="F12" s="324"/>
      <c r="G12" s="324"/>
      <c r="H12" s="324"/>
      <c r="I12" s="324"/>
      <c r="J12" s="324"/>
      <c r="K12" s="324"/>
      <c r="L12" s="324"/>
      <c r="M12" s="325"/>
    </row>
    <row r="13" spans="1:13" s="79" customFormat="1" ht="22.5" customHeight="1" x14ac:dyDescent="0.25">
      <c r="A13" s="264"/>
      <c r="B13" s="263">
        <v>1</v>
      </c>
      <c r="C13" s="265"/>
      <c r="D13" s="266" t="s">
        <v>15</v>
      </c>
      <c r="E13" s="267"/>
      <c r="F13" s="268"/>
      <c r="G13" s="269"/>
      <c r="H13" s="269"/>
      <c r="I13" s="269"/>
      <c r="J13" s="269"/>
      <c r="K13" s="269"/>
      <c r="L13" s="269"/>
      <c r="M13" s="270"/>
    </row>
    <row r="14" spans="1:13" s="109" customFormat="1" ht="63" customHeight="1" x14ac:dyDescent="0.25">
      <c r="A14" s="7"/>
      <c r="B14" s="8"/>
      <c r="C14" s="9" t="s">
        <v>16</v>
      </c>
      <c r="D14" s="10"/>
      <c r="E14" s="11" t="s">
        <v>17</v>
      </c>
      <c r="F14" s="123" t="s">
        <v>106</v>
      </c>
      <c r="G14" s="80" t="s">
        <v>18</v>
      </c>
      <c r="H14" s="123"/>
      <c r="I14" s="13">
        <v>43343</v>
      </c>
      <c r="J14" s="12">
        <v>0</v>
      </c>
      <c r="K14" s="81" t="s">
        <v>19</v>
      </c>
      <c r="L14" s="81" t="s">
        <v>20</v>
      </c>
      <c r="M14" s="122" t="s">
        <v>103</v>
      </c>
    </row>
    <row r="15" spans="1:13" s="108" customFormat="1" ht="67.5" x14ac:dyDescent="0.25">
      <c r="A15" s="15"/>
      <c r="B15" s="16"/>
      <c r="C15" s="17" t="s">
        <v>21</v>
      </c>
      <c r="D15" s="18"/>
      <c r="E15" s="11" t="s">
        <v>22</v>
      </c>
      <c r="F15" s="123" t="s">
        <v>106</v>
      </c>
      <c r="G15" s="81" t="s">
        <v>23</v>
      </c>
      <c r="H15" s="123"/>
      <c r="I15" s="13">
        <v>43544</v>
      </c>
      <c r="J15" s="19">
        <v>0</v>
      </c>
      <c r="K15" s="81" t="s">
        <v>19</v>
      </c>
      <c r="L15" s="81" t="s">
        <v>20</v>
      </c>
      <c r="M15" s="122" t="s">
        <v>116</v>
      </c>
    </row>
    <row r="16" spans="1:13" s="108" customFormat="1" ht="56.25" customHeight="1" x14ac:dyDescent="0.25">
      <c r="A16" s="20"/>
      <c r="B16" s="21"/>
      <c r="C16" s="17" t="s">
        <v>24</v>
      </c>
      <c r="D16" s="18"/>
      <c r="E16" s="11" t="s">
        <v>25</v>
      </c>
      <c r="F16" s="123" t="s">
        <v>106</v>
      </c>
      <c r="G16" s="82" t="s">
        <v>26</v>
      </c>
      <c r="H16" s="123"/>
      <c r="I16" s="13">
        <v>43830</v>
      </c>
      <c r="J16" s="19">
        <v>-5660460.5</v>
      </c>
      <c r="K16" s="82" t="s">
        <v>19</v>
      </c>
      <c r="L16" s="82" t="s">
        <v>20</v>
      </c>
      <c r="M16" s="122" t="s">
        <v>104</v>
      </c>
    </row>
    <row r="17" spans="1:13" s="83" customFormat="1" ht="22.5" customHeight="1" x14ac:dyDescent="0.25">
      <c r="A17" s="274"/>
      <c r="B17" s="275">
        <v>2</v>
      </c>
      <c r="C17" s="276"/>
      <c r="D17" s="277" t="s">
        <v>27</v>
      </c>
      <c r="E17" s="278"/>
      <c r="F17" s="278"/>
      <c r="G17" s="279"/>
      <c r="H17" s="279"/>
      <c r="I17" s="279"/>
      <c r="J17" s="279"/>
      <c r="K17" s="279"/>
      <c r="L17" s="279"/>
      <c r="M17" s="280"/>
    </row>
    <row r="18" spans="1:13" s="109" customFormat="1" ht="56.25" customHeight="1" x14ac:dyDescent="0.25">
      <c r="A18" s="7"/>
      <c r="B18" s="8"/>
      <c r="C18" s="9" t="s">
        <v>16</v>
      </c>
      <c r="D18" s="10"/>
      <c r="E18" s="11" t="s">
        <v>17</v>
      </c>
      <c r="F18" s="123" t="s">
        <v>106</v>
      </c>
      <c r="G18" s="80" t="s">
        <v>18</v>
      </c>
      <c r="H18" s="19"/>
      <c r="I18" s="13">
        <v>43343</v>
      </c>
      <c r="J18" s="12">
        <v>0</v>
      </c>
      <c r="K18" s="81" t="s">
        <v>19</v>
      </c>
      <c r="L18" s="81" t="s">
        <v>20</v>
      </c>
      <c r="M18" s="122" t="s">
        <v>103</v>
      </c>
    </row>
    <row r="19" spans="1:13" s="108" customFormat="1" ht="67.5" x14ac:dyDescent="0.25">
      <c r="A19" s="15"/>
      <c r="B19" s="16"/>
      <c r="C19" s="17" t="s">
        <v>21</v>
      </c>
      <c r="D19" s="18"/>
      <c r="E19" s="11" t="s">
        <v>22</v>
      </c>
      <c r="F19" s="123" t="s">
        <v>106</v>
      </c>
      <c r="G19" s="81" t="s">
        <v>23</v>
      </c>
      <c r="H19" s="19"/>
      <c r="I19" s="13">
        <v>43544</v>
      </c>
      <c r="J19" s="19">
        <v>0</v>
      </c>
      <c r="K19" s="81" t="s">
        <v>19</v>
      </c>
      <c r="L19" s="81" t="s">
        <v>20</v>
      </c>
      <c r="M19" s="122" t="s">
        <v>116</v>
      </c>
    </row>
    <row r="20" spans="1:13" s="108" customFormat="1" ht="56.25" customHeight="1" x14ac:dyDescent="0.25">
      <c r="A20" s="20"/>
      <c r="B20" s="21"/>
      <c r="C20" s="17" t="s">
        <v>24</v>
      </c>
      <c r="D20" s="18"/>
      <c r="E20" s="11" t="s">
        <v>25</v>
      </c>
      <c r="F20" s="123" t="s">
        <v>106</v>
      </c>
      <c r="G20" s="82" t="s">
        <v>26</v>
      </c>
      <c r="H20" s="12"/>
      <c r="I20" s="13">
        <v>43830</v>
      </c>
      <c r="J20" s="19">
        <v>-5660460.5</v>
      </c>
      <c r="K20" s="82" t="s">
        <v>19</v>
      </c>
      <c r="L20" s="82" t="s">
        <v>20</v>
      </c>
      <c r="M20" s="122" t="s">
        <v>105</v>
      </c>
    </row>
    <row r="21" spans="1:13" s="83" customFormat="1" ht="18" customHeight="1" x14ac:dyDescent="0.25">
      <c r="A21" s="274"/>
      <c r="B21" s="275">
        <v>3</v>
      </c>
      <c r="C21" s="276"/>
      <c r="D21" s="277" t="s">
        <v>28</v>
      </c>
      <c r="E21" s="278"/>
      <c r="F21" s="278"/>
      <c r="G21" s="279"/>
      <c r="H21" s="279"/>
      <c r="I21" s="279"/>
      <c r="J21" s="279"/>
      <c r="K21" s="279"/>
      <c r="L21" s="279"/>
      <c r="M21" s="281"/>
    </row>
    <row r="22" spans="1:13" s="109" customFormat="1" ht="29.25" customHeight="1" x14ac:dyDescent="0.25">
      <c r="A22" s="7"/>
      <c r="B22" s="8"/>
      <c r="C22" s="9" t="s">
        <v>16</v>
      </c>
      <c r="D22" s="10"/>
      <c r="E22" s="11" t="s">
        <v>17</v>
      </c>
      <c r="F22" s="118"/>
      <c r="G22" s="80" t="s">
        <v>29</v>
      </c>
      <c r="H22" s="123" t="s">
        <v>106</v>
      </c>
      <c r="I22" s="13"/>
      <c r="J22" s="12"/>
      <c r="K22" s="81" t="s">
        <v>19</v>
      </c>
      <c r="L22" s="81" t="s">
        <v>30</v>
      </c>
      <c r="M22" s="122" t="s">
        <v>107</v>
      </c>
    </row>
    <row r="23" spans="1:13" s="108" customFormat="1" ht="29.25" customHeight="1" x14ac:dyDescent="0.25">
      <c r="A23" s="15"/>
      <c r="B23" s="16"/>
      <c r="C23" s="17" t="s">
        <v>21</v>
      </c>
      <c r="D23" s="18"/>
      <c r="E23" s="11" t="s">
        <v>22</v>
      </c>
      <c r="F23" s="119"/>
      <c r="G23" s="81" t="s">
        <v>31</v>
      </c>
      <c r="H23" s="123" t="s">
        <v>106</v>
      </c>
      <c r="I23" s="13"/>
      <c r="J23" s="19"/>
      <c r="K23" s="81" t="s">
        <v>19</v>
      </c>
      <c r="L23" s="81" t="s">
        <v>30</v>
      </c>
      <c r="M23" s="122" t="s">
        <v>107</v>
      </c>
    </row>
    <row r="24" spans="1:13" s="108" customFormat="1" ht="29.25" customHeight="1" x14ac:dyDescent="0.25">
      <c r="A24" s="20"/>
      <c r="B24" s="21"/>
      <c r="C24" s="17" t="s">
        <v>24</v>
      </c>
      <c r="D24" s="18"/>
      <c r="E24" s="11" t="s">
        <v>25</v>
      </c>
      <c r="F24" s="110"/>
      <c r="G24" s="82" t="s">
        <v>26</v>
      </c>
      <c r="H24" s="123" t="s">
        <v>106</v>
      </c>
      <c r="I24" s="22"/>
      <c r="J24" s="19"/>
      <c r="K24" s="82" t="s">
        <v>19</v>
      </c>
      <c r="L24" s="82" t="s">
        <v>30</v>
      </c>
      <c r="M24" s="122" t="s">
        <v>107</v>
      </c>
    </row>
    <row r="25" spans="1:13" s="83" customFormat="1" ht="22.5" customHeight="1" x14ac:dyDescent="0.25">
      <c r="A25" s="286"/>
      <c r="B25" s="287">
        <v>4</v>
      </c>
      <c r="C25" s="288"/>
      <c r="D25" s="289" t="s">
        <v>32</v>
      </c>
      <c r="E25" s="290"/>
      <c r="F25" s="290"/>
      <c r="G25" s="279"/>
      <c r="H25" s="279"/>
      <c r="I25" s="279"/>
      <c r="J25" s="279"/>
      <c r="K25" s="279"/>
      <c r="L25" s="279"/>
      <c r="M25" s="280"/>
    </row>
    <row r="26" spans="1:13" s="83" customFormat="1" ht="22.5" customHeight="1" x14ac:dyDescent="0.25">
      <c r="A26" s="23"/>
      <c r="B26" s="24"/>
      <c r="C26" s="84" t="s">
        <v>16</v>
      </c>
      <c r="D26" s="25" t="s">
        <v>33</v>
      </c>
      <c r="E26" s="26"/>
      <c r="F26" s="26"/>
      <c r="G26" s="85"/>
      <c r="H26" s="85"/>
      <c r="I26" s="85"/>
      <c r="J26" s="85"/>
      <c r="K26" s="85"/>
      <c r="L26" s="85"/>
      <c r="M26" s="27"/>
    </row>
    <row r="27" spans="1:13" s="108" customFormat="1" ht="29.25" customHeight="1" x14ac:dyDescent="0.25">
      <c r="A27" s="20"/>
      <c r="B27" s="21"/>
      <c r="C27" s="9"/>
      <c r="D27" s="10"/>
      <c r="E27" s="28" t="s">
        <v>34</v>
      </c>
      <c r="F27" s="120"/>
      <c r="G27" s="81" t="s">
        <v>35</v>
      </c>
      <c r="H27" s="123" t="s">
        <v>106</v>
      </c>
      <c r="I27" s="13"/>
      <c r="J27" s="14"/>
      <c r="K27" s="81" t="s">
        <v>19</v>
      </c>
      <c r="L27" s="81" t="s">
        <v>36</v>
      </c>
      <c r="M27" s="122" t="s">
        <v>107</v>
      </c>
    </row>
    <row r="28" spans="1:13" s="108" customFormat="1" ht="29.25" customHeight="1" x14ac:dyDescent="0.25">
      <c r="A28" s="20"/>
      <c r="B28" s="21"/>
      <c r="C28" s="17"/>
      <c r="D28" s="18"/>
      <c r="E28" s="29" t="s">
        <v>37</v>
      </c>
      <c r="F28" s="120"/>
      <c r="G28" s="81" t="s">
        <v>38</v>
      </c>
      <c r="H28" s="123" t="s">
        <v>106</v>
      </c>
      <c r="I28" s="13"/>
      <c r="J28" s="14"/>
      <c r="K28" s="81" t="s">
        <v>19</v>
      </c>
      <c r="L28" s="81" t="s">
        <v>36</v>
      </c>
      <c r="M28" s="122" t="s">
        <v>107</v>
      </c>
    </row>
    <row r="29" spans="1:13" s="108" customFormat="1" ht="56.25" customHeight="1" x14ac:dyDescent="0.25">
      <c r="A29" s="20"/>
      <c r="B29" s="21"/>
      <c r="C29" s="30" t="s">
        <v>21</v>
      </c>
      <c r="D29" s="216" t="s">
        <v>39</v>
      </c>
      <c r="E29" s="217"/>
      <c r="F29" s="120"/>
      <c r="G29" s="81" t="s">
        <v>40</v>
      </c>
      <c r="H29" s="123" t="s">
        <v>106</v>
      </c>
      <c r="I29" s="13"/>
      <c r="J29" s="14"/>
      <c r="K29" s="81" t="s">
        <v>19</v>
      </c>
      <c r="L29" s="81" t="s">
        <v>36</v>
      </c>
      <c r="M29" s="122" t="s">
        <v>107</v>
      </c>
    </row>
    <row r="30" spans="1:13" s="108" customFormat="1" ht="56.25" customHeight="1" x14ac:dyDescent="0.25">
      <c r="A30" s="20"/>
      <c r="B30" s="21"/>
      <c r="C30" s="17" t="s">
        <v>24</v>
      </c>
      <c r="D30" s="216" t="s">
        <v>41</v>
      </c>
      <c r="E30" s="217"/>
      <c r="F30" s="119"/>
      <c r="G30" s="81" t="s">
        <v>42</v>
      </c>
      <c r="H30" s="123" t="s">
        <v>106</v>
      </c>
      <c r="I30" s="13"/>
      <c r="J30" s="14"/>
      <c r="K30" s="81" t="s">
        <v>19</v>
      </c>
      <c r="L30" s="81" t="s">
        <v>36</v>
      </c>
      <c r="M30" s="122" t="s">
        <v>107</v>
      </c>
    </row>
    <row r="31" spans="1:13" s="108" customFormat="1" ht="56.25" customHeight="1" x14ac:dyDescent="0.25">
      <c r="A31" s="20"/>
      <c r="B31" s="21"/>
      <c r="C31" s="30" t="s">
        <v>43</v>
      </c>
      <c r="D31" s="216" t="s">
        <v>44</v>
      </c>
      <c r="E31" s="217"/>
      <c r="F31" s="119"/>
      <c r="G31" s="81" t="s">
        <v>40</v>
      </c>
      <c r="H31" s="123" t="s">
        <v>106</v>
      </c>
      <c r="I31" s="13"/>
      <c r="J31" s="14"/>
      <c r="K31" s="81" t="s">
        <v>19</v>
      </c>
      <c r="L31" s="81" t="s">
        <v>36</v>
      </c>
      <c r="M31" s="122" t="s">
        <v>107</v>
      </c>
    </row>
    <row r="32" spans="1:13" s="83" customFormat="1" ht="22.5" customHeight="1" x14ac:dyDescent="0.25">
      <c r="A32" s="286"/>
      <c r="B32" s="287">
        <v>5</v>
      </c>
      <c r="C32" s="276"/>
      <c r="D32" s="289" t="s">
        <v>45</v>
      </c>
      <c r="E32" s="290"/>
      <c r="F32" s="290"/>
      <c r="G32" s="279"/>
      <c r="H32" s="279"/>
      <c r="I32" s="279"/>
      <c r="J32" s="279"/>
      <c r="K32" s="279"/>
      <c r="L32" s="279"/>
      <c r="M32" s="280"/>
    </row>
    <row r="33" spans="1:13" s="108" customFormat="1" ht="57" customHeight="1" x14ac:dyDescent="0.25">
      <c r="A33" s="20"/>
      <c r="B33" s="21"/>
      <c r="C33" s="9" t="s">
        <v>16</v>
      </c>
      <c r="D33" s="10"/>
      <c r="E33" s="28" t="s">
        <v>46</v>
      </c>
      <c r="F33" s="123" t="s">
        <v>106</v>
      </c>
      <c r="G33" s="81" t="s">
        <v>47</v>
      </c>
      <c r="H33" s="19"/>
      <c r="I33" s="13">
        <v>43830</v>
      </c>
      <c r="J33" s="14">
        <v>441731903</v>
      </c>
      <c r="K33" s="81" t="s">
        <v>19</v>
      </c>
      <c r="L33" s="81" t="s">
        <v>48</v>
      </c>
      <c r="M33" s="122" t="s">
        <v>109</v>
      </c>
    </row>
    <row r="34" spans="1:13" s="108" customFormat="1" ht="57" customHeight="1" x14ac:dyDescent="0.25">
      <c r="A34" s="20"/>
      <c r="B34" s="21"/>
      <c r="C34" s="17" t="s">
        <v>21</v>
      </c>
      <c r="D34" s="18"/>
      <c r="E34" s="29" t="s">
        <v>25</v>
      </c>
      <c r="F34" s="123" t="s">
        <v>106</v>
      </c>
      <c r="G34" s="81" t="s">
        <v>47</v>
      </c>
      <c r="H34" s="19"/>
      <c r="I34" s="13">
        <v>43830</v>
      </c>
      <c r="J34" s="14">
        <v>368901807</v>
      </c>
      <c r="K34" s="81" t="s">
        <v>19</v>
      </c>
      <c r="L34" s="81" t="s">
        <v>49</v>
      </c>
      <c r="M34" s="122" t="s">
        <v>108</v>
      </c>
    </row>
    <row r="35" spans="1:13" s="83" customFormat="1" ht="22.5" customHeight="1" x14ac:dyDescent="0.25">
      <c r="A35" s="282"/>
      <c r="B35" s="283">
        <v>6</v>
      </c>
      <c r="C35" s="271"/>
      <c r="D35" s="284" t="s">
        <v>50</v>
      </c>
      <c r="E35" s="285"/>
      <c r="F35" s="285"/>
      <c r="G35" s="272"/>
      <c r="H35" s="272"/>
      <c r="I35" s="272"/>
      <c r="J35" s="272"/>
      <c r="K35" s="272"/>
      <c r="L35" s="272"/>
      <c r="M35" s="273"/>
    </row>
    <row r="36" spans="1:13" s="108" customFormat="1" ht="57" customHeight="1" x14ac:dyDescent="0.25">
      <c r="A36" s="20"/>
      <c r="B36" s="21"/>
      <c r="C36" s="9" t="s">
        <v>16</v>
      </c>
      <c r="D36" s="10"/>
      <c r="E36" s="28" t="s">
        <v>46</v>
      </c>
      <c r="F36" s="120"/>
      <c r="G36" s="81" t="s">
        <v>51</v>
      </c>
      <c r="H36" s="123" t="s">
        <v>106</v>
      </c>
      <c r="I36" s="13"/>
      <c r="J36" s="14"/>
      <c r="K36" s="81" t="s">
        <v>19</v>
      </c>
      <c r="L36" s="81" t="s">
        <v>52</v>
      </c>
      <c r="M36" s="122" t="s">
        <v>107</v>
      </c>
    </row>
    <row r="37" spans="1:13" s="83" customFormat="1" ht="22.5" customHeight="1" x14ac:dyDescent="0.25">
      <c r="A37" s="282"/>
      <c r="B37" s="283">
        <v>7</v>
      </c>
      <c r="C37" s="271"/>
      <c r="D37" s="284" t="s">
        <v>53</v>
      </c>
      <c r="E37" s="285"/>
      <c r="F37" s="285"/>
      <c r="G37" s="272"/>
      <c r="H37" s="272"/>
      <c r="I37" s="272"/>
      <c r="J37" s="272"/>
      <c r="K37" s="272"/>
      <c r="L37" s="272"/>
      <c r="M37" s="273"/>
    </row>
    <row r="38" spans="1:13" s="108" customFormat="1" ht="56.25" customHeight="1" x14ac:dyDescent="0.25">
      <c r="A38" s="20"/>
      <c r="B38" s="21"/>
      <c r="C38" s="9" t="s">
        <v>16</v>
      </c>
      <c r="D38" s="10"/>
      <c r="E38" s="28" t="s">
        <v>17</v>
      </c>
      <c r="F38" s="123" t="s">
        <v>106</v>
      </c>
      <c r="G38" s="81" t="s">
        <v>54</v>
      </c>
      <c r="H38" s="19"/>
      <c r="I38" s="13">
        <v>43343</v>
      </c>
      <c r="J38" s="14">
        <v>25343008</v>
      </c>
      <c r="K38" s="81" t="s">
        <v>19</v>
      </c>
      <c r="L38" s="81" t="s">
        <v>55</v>
      </c>
      <c r="M38" s="111"/>
    </row>
    <row r="39" spans="1:13" s="108" customFormat="1" ht="56.25" customHeight="1" x14ac:dyDescent="0.25">
      <c r="A39" s="20"/>
      <c r="B39" s="21"/>
      <c r="C39" s="9" t="s">
        <v>21</v>
      </c>
      <c r="D39" s="10"/>
      <c r="E39" s="28" t="s">
        <v>22</v>
      </c>
      <c r="F39" s="123" t="s">
        <v>106</v>
      </c>
      <c r="G39" s="81" t="s">
        <v>35</v>
      </c>
      <c r="H39" s="19"/>
      <c r="I39" s="13">
        <v>43544</v>
      </c>
      <c r="J39" s="14">
        <v>12290590</v>
      </c>
      <c r="K39" s="81" t="s">
        <v>19</v>
      </c>
      <c r="L39" s="81" t="s">
        <v>55</v>
      </c>
      <c r="M39" s="111"/>
    </row>
    <row r="40" spans="1:13" s="108" customFormat="1" ht="56.25" customHeight="1" x14ac:dyDescent="0.25">
      <c r="A40" s="20"/>
      <c r="B40" s="21"/>
      <c r="C40" s="9" t="s">
        <v>24</v>
      </c>
      <c r="D40" s="10"/>
      <c r="E40" s="28" t="s">
        <v>25</v>
      </c>
      <c r="F40" s="123" t="s">
        <v>106</v>
      </c>
      <c r="G40" s="81" t="s">
        <v>38</v>
      </c>
      <c r="H40" s="19"/>
      <c r="I40" s="13">
        <v>43830</v>
      </c>
      <c r="J40" s="14">
        <v>0</v>
      </c>
      <c r="K40" s="81" t="s">
        <v>19</v>
      </c>
      <c r="L40" s="81" t="s">
        <v>55</v>
      </c>
      <c r="M40" s="122" t="s">
        <v>110</v>
      </c>
    </row>
    <row r="41" spans="1:13" s="87" customFormat="1" ht="20.25" x14ac:dyDescent="0.25">
      <c r="A41" s="20"/>
      <c r="B41" s="21"/>
      <c r="C41" s="9"/>
      <c r="D41" s="10"/>
      <c r="E41" s="31"/>
      <c r="F41" s="32"/>
      <c r="G41" s="86"/>
      <c r="H41" s="85"/>
      <c r="I41" s="86"/>
      <c r="J41" s="86"/>
      <c r="K41" s="86"/>
      <c r="L41" s="86"/>
      <c r="M41" s="112"/>
    </row>
    <row r="42" spans="1:13" s="91" customFormat="1" ht="3.75" customHeight="1" x14ac:dyDescent="0.25">
      <c r="A42" s="33"/>
      <c r="B42" s="34"/>
      <c r="C42" s="35"/>
      <c r="D42" s="36"/>
      <c r="E42" s="37"/>
      <c r="F42" s="38"/>
      <c r="G42" s="88"/>
      <c r="H42" s="89"/>
      <c r="I42" s="88"/>
      <c r="J42" s="88"/>
      <c r="K42" s="88"/>
      <c r="L42" s="88"/>
      <c r="M42" s="113"/>
    </row>
    <row r="43" spans="1:13" s="78" customFormat="1" ht="22.5" customHeight="1" x14ac:dyDescent="0.25">
      <c r="A43" s="302" t="s">
        <v>56</v>
      </c>
      <c r="B43" s="303"/>
      <c r="C43" s="314" t="s">
        <v>57</v>
      </c>
      <c r="D43" s="314"/>
      <c r="E43" s="314"/>
      <c r="F43" s="315"/>
      <c r="G43" s="307"/>
      <c r="H43" s="307"/>
      <c r="I43" s="307"/>
      <c r="J43" s="307"/>
      <c r="K43" s="307"/>
      <c r="L43" s="307"/>
      <c r="M43" s="308"/>
    </row>
    <row r="44" spans="1:13" s="83" customFormat="1" ht="22.5" customHeight="1" x14ac:dyDescent="0.25">
      <c r="A44" s="282"/>
      <c r="B44" s="283">
        <v>1</v>
      </c>
      <c r="C44" s="271"/>
      <c r="D44" s="284" t="s">
        <v>18</v>
      </c>
      <c r="E44" s="285"/>
      <c r="F44" s="285"/>
      <c r="G44" s="272"/>
      <c r="H44" s="272"/>
      <c r="I44" s="272"/>
      <c r="J44" s="272"/>
      <c r="K44" s="272"/>
      <c r="L44" s="272"/>
      <c r="M44" s="273"/>
    </row>
    <row r="45" spans="1:13" s="108" customFormat="1" ht="56.25" customHeight="1" x14ac:dyDescent="0.25">
      <c r="A45" s="20"/>
      <c r="B45" s="21"/>
      <c r="C45" s="9" t="s">
        <v>16</v>
      </c>
      <c r="D45" s="10"/>
      <c r="E45" s="28" t="s">
        <v>58</v>
      </c>
      <c r="F45" s="123" t="s">
        <v>106</v>
      </c>
      <c r="G45" s="81" t="s">
        <v>18</v>
      </c>
      <c r="H45" s="19"/>
      <c r="I45" s="13">
        <v>43343</v>
      </c>
      <c r="J45" s="14"/>
      <c r="K45" s="81"/>
      <c r="L45" s="81" t="s">
        <v>59</v>
      </c>
      <c r="M45" s="111"/>
    </row>
    <row r="46" spans="1:13" s="108" customFormat="1" ht="56.25" customHeight="1" x14ac:dyDescent="0.25">
      <c r="A46" s="39"/>
      <c r="B46" s="40"/>
      <c r="C46" s="41" t="s">
        <v>21</v>
      </c>
      <c r="D46" s="42"/>
      <c r="E46" s="43" t="s">
        <v>60</v>
      </c>
      <c r="F46" s="123" t="s">
        <v>106</v>
      </c>
      <c r="G46" s="92" t="s">
        <v>61</v>
      </c>
      <c r="H46" s="45"/>
      <c r="I46" s="13">
        <v>43343</v>
      </c>
      <c r="J46" s="44"/>
      <c r="K46" s="92"/>
      <c r="L46" s="92" t="s">
        <v>59</v>
      </c>
      <c r="M46" s="114"/>
    </row>
    <row r="47" spans="1:13" s="108" customFormat="1" ht="67.5" x14ac:dyDescent="0.25">
      <c r="A47" s="39"/>
      <c r="B47" s="40"/>
      <c r="C47" s="41" t="s">
        <v>24</v>
      </c>
      <c r="D47" s="42"/>
      <c r="E47" s="43" t="s">
        <v>62</v>
      </c>
      <c r="F47" s="123" t="s">
        <v>106</v>
      </c>
      <c r="G47" s="92" t="s">
        <v>18</v>
      </c>
      <c r="H47" s="123"/>
      <c r="I47" s="13">
        <v>43343</v>
      </c>
      <c r="J47" s="44"/>
      <c r="K47" s="92"/>
      <c r="L47" s="92" t="s">
        <v>59</v>
      </c>
      <c r="M47" s="124" t="s">
        <v>112</v>
      </c>
    </row>
    <row r="48" spans="1:13" s="108" customFormat="1" ht="56.25" customHeight="1" x14ac:dyDescent="0.25">
      <c r="A48" s="20"/>
      <c r="B48" s="21"/>
      <c r="C48" s="9" t="s">
        <v>43</v>
      </c>
      <c r="D48" s="10"/>
      <c r="E48" s="28" t="s">
        <v>63</v>
      </c>
      <c r="F48" s="123" t="s">
        <v>106</v>
      </c>
      <c r="G48" s="81" t="s">
        <v>64</v>
      </c>
      <c r="H48" s="19"/>
      <c r="I48" s="13"/>
      <c r="J48" s="14"/>
      <c r="K48" s="81"/>
      <c r="L48" s="81" t="s">
        <v>59</v>
      </c>
      <c r="M48" s="111"/>
    </row>
    <row r="49" spans="1:13" s="108" customFormat="1" ht="56.25" customHeight="1" x14ac:dyDescent="0.25">
      <c r="A49" s="20"/>
      <c r="B49" s="21"/>
      <c r="C49" s="9" t="s">
        <v>65</v>
      </c>
      <c r="D49" s="10"/>
      <c r="E49" s="28" t="s">
        <v>66</v>
      </c>
      <c r="F49" s="123"/>
      <c r="G49" s="81" t="s">
        <v>67</v>
      </c>
      <c r="H49" s="123" t="s">
        <v>106</v>
      </c>
      <c r="I49" s="13"/>
      <c r="J49" s="14"/>
      <c r="K49" s="81"/>
      <c r="L49" s="81" t="s">
        <v>59</v>
      </c>
      <c r="M49" s="122" t="s">
        <v>285</v>
      </c>
    </row>
    <row r="50" spans="1:13" s="83" customFormat="1" ht="22.5" customHeight="1" x14ac:dyDescent="0.25">
      <c r="A50" s="371"/>
      <c r="B50" s="372">
        <v>2</v>
      </c>
      <c r="C50" s="373"/>
      <c r="D50" s="374" t="s">
        <v>68</v>
      </c>
      <c r="E50" s="375"/>
      <c r="F50" s="375"/>
      <c r="G50" s="376"/>
      <c r="H50" s="376"/>
      <c r="I50" s="376"/>
      <c r="J50" s="376"/>
      <c r="K50" s="376"/>
      <c r="L50" s="376"/>
      <c r="M50" s="377"/>
    </row>
    <row r="51" spans="1:13" s="108" customFormat="1" ht="56.25" customHeight="1" x14ac:dyDescent="0.25">
      <c r="A51" s="20"/>
      <c r="B51" s="21"/>
      <c r="C51" s="9" t="s">
        <v>16</v>
      </c>
      <c r="D51" s="10"/>
      <c r="E51" s="28" t="s">
        <v>69</v>
      </c>
      <c r="F51" s="123" t="s">
        <v>106</v>
      </c>
      <c r="G51" s="81" t="s">
        <v>70</v>
      </c>
      <c r="H51" s="19"/>
      <c r="I51" s="13"/>
      <c r="J51" s="14"/>
      <c r="K51" s="81"/>
      <c r="L51" s="81" t="s">
        <v>20</v>
      </c>
      <c r="M51" s="122" t="s">
        <v>113</v>
      </c>
    </row>
    <row r="52" spans="1:13" s="108" customFormat="1" ht="56.25" customHeight="1" x14ac:dyDescent="0.25">
      <c r="A52" s="20"/>
      <c r="B52" s="21"/>
      <c r="C52" s="9" t="s">
        <v>21</v>
      </c>
      <c r="D52" s="10"/>
      <c r="E52" s="28" t="s">
        <v>71</v>
      </c>
      <c r="F52" s="120"/>
      <c r="G52" s="81" t="s">
        <v>70</v>
      </c>
      <c r="H52" s="123" t="s">
        <v>106</v>
      </c>
      <c r="I52" s="13">
        <v>43830</v>
      </c>
      <c r="J52" s="19">
        <v>-5660460.5</v>
      </c>
      <c r="K52" s="81"/>
      <c r="L52" s="81" t="s">
        <v>20</v>
      </c>
      <c r="M52" s="122" t="s">
        <v>111</v>
      </c>
    </row>
    <row r="53" spans="1:13" s="108" customFormat="1" ht="108" x14ac:dyDescent="0.25">
      <c r="A53" s="20"/>
      <c r="B53" s="21"/>
      <c r="C53" s="9" t="s">
        <v>24</v>
      </c>
      <c r="D53" s="10"/>
      <c r="E53" s="28" t="s">
        <v>72</v>
      </c>
      <c r="F53" s="120"/>
      <c r="G53" s="81" t="s">
        <v>70</v>
      </c>
      <c r="H53" s="123" t="s">
        <v>106</v>
      </c>
      <c r="I53" s="13"/>
      <c r="J53" s="14"/>
      <c r="K53" s="81"/>
      <c r="L53" s="81" t="s">
        <v>20</v>
      </c>
      <c r="M53" s="122" t="s">
        <v>115</v>
      </c>
    </row>
    <row r="54" spans="1:13" s="108" customFormat="1" ht="67.5" x14ac:dyDescent="0.25">
      <c r="A54" s="20"/>
      <c r="B54" s="21"/>
      <c r="C54" s="9" t="s">
        <v>43</v>
      </c>
      <c r="D54" s="10"/>
      <c r="E54" s="28" t="s">
        <v>73</v>
      </c>
      <c r="F54" s="19"/>
      <c r="G54" s="81" t="s">
        <v>74</v>
      </c>
      <c r="H54" s="123" t="s">
        <v>106</v>
      </c>
      <c r="I54" s="13">
        <v>43830</v>
      </c>
      <c r="J54" s="14"/>
      <c r="K54" s="81"/>
      <c r="L54" s="81" t="s">
        <v>20</v>
      </c>
      <c r="M54" s="122" t="s">
        <v>114</v>
      </c>
    </row>
    <row r="55" spans="1:13" s="78" customFormat="1" ht="7.5" customHeight="1" x14ac:dyDescent="0.25">
      <c r="A55" s="46"/>
      <c r="B55" s="46"/>
      <c r="C55" s="9"/>
      <c r="D55" s="10"/>
      <c r="E55" s="31"/>
      <c r="F55" s="47"/>
      <c r="G55" s="86"/>
      <c r="H55" s="93"/>
      <c r="I55" s="86"/>
      <c r="J55" s="86"/>
      <c r="K55" s="86"/>
      <c r="L55" s="86"/>
      <c r="M55" s="96"/>
    </row>
    <row r="56" spans="1:13" s="83" customFormat="1" ht="22.5" customHeight="1" x14ac:dyDescent="0.25">
      <c r="A56" s="371"/>
      <c r="B56" s="372">
        <v>3</v>
      </c>
      <c r="C56" s="373"/>
      <c r="D56" s="374" t="s">
        <v>75</v>
      </c>
      <c r="E56" s="375"/>
      <c r="F56" s="375"/>
      <c r="G56" s="376"/>
      <c r="H56" s="376"/>
      <c r="I56" s="376"/>
      <c r="J56" s="376"/>
      <c r="K56" s="376"/>
      <c r="L56" s="376"/>
      <c r="M56" s="377"/>
    </row>
    <row r="57" spans="1:13" s="108" customFormat="1" ht="32.25" customHeight="1" x14ac:dyDescent="0.25">
      <c r="A57" s="20"/>
      <c r="B57" s="21"/>
      <c r="C57" s="9" t="s">
        <v>16</v>
      </c>
      <c r="D57" s="10"/>
      <c r="E57" s="28" t="s">
        <v>76</v>
      </c>
      <c r="F57" s="123" t="s">
        <v>106</v>
      </c>
      <c r="G57" s="81" t="s">
        <v>77</v>
      </c>
      <c r="H57" s="19"/>
      <c r="I57" s="13">
        <v>43343</v>
      </c>
      <c r="J57" s="14">
        <v>520584032</v>
      </c>
      <c r="K57" s="81"/>
      <c r="L57" s="81" t="s">
        <v>48</v>
      </c>
      <c r="M57" s="111"/>
    </row>
    <row r="58" spans="1:13" s="108" customFormat="1" ht="56.25" customHeight="1" x14ac:dyDescent="0.25">
      <c r="A58" s="20"/>
      <c r="B58" s="21"/>
      <c r="C58" s="9" t="s">
        <v>21</v>
      </c>
      <c r="D58" s="10"/>
      <c r="E58" s="28" t="s">
        <v>78</v>
      </c>
      <c r="F58" s="123" t="s">
        <v>106</v>
      </c>
      <c r="G58" s="81" t="s">
        <v>77</v>
      </c>
      <c r="H58" s="19"/>
      <c r="I58" s="13">
        <v>43343</v>
      </c>
      <c r="J58" s="14">
        <v>26000000</v>
      </c>
      <c r="K58" s="81"/>
      <c r="L58" s="81" t="s">
        <v>48</v>
      </c>
      <c r="M58" s="111"/>
    </row>
    <row r="59" spans="1:13" s="91" customFormat="1" ht="18" customHeight="1" x14ac:dyDescent="0.25">
      <c r="A59" s="48"/>
      <c r="B59" s="46"/>
      <c r="C59" s="4"/>
      <c r="D59" s="5"/>
      <c r="E59" s="49"/>
      <c r="F59" s="50"/>
      <c r="G59" s="94"/>
      <c r="H59" s="95"/>
      <c r="I59" s="94"/>
      <c r="J59" s="94"/>
      <c r="K59" s="94"/>
      <c r="L59" s="94"/>
      <c r="M59" s="100"/>
    </row>
    <row r="60" spans="1:13" s="77" customFormat="1" ht="22.5" customHeight="1" x14ac:dyDescent="0.25">
      <c r="A60" s="366"/>
      <c r="B60" s="367" t="s">
        <v>79</v>
      </c>
      <c r="C60" s="368"/>
      <c r="D60" s="369"/>
      <c r="E60" s="367"/>
      <c r="F60" s="369"/>
      <c r="G60" s="369"/>
      <c r="H60" s="369"/>
      <c r="I60" s="369"/>
      <c r="J60" s="369"/>
      <c r="K60" s="369"/>
      <c r="L60" s="369"/>
      <c r="M60" s="370"/>
    </row>
    <row r="61" spans="1:13" s="78" customFormat="1" ht="22.5" customHeight="1" x14ac:dyDescent="0.25">
      <c r="A61" s="309" t="s">
        <v>13</v>
      </c>
      <c r="B61" s="310"/>
      <c r="C61" s="304" t="s">
        <v>14</v>
      </c>
      <c r="D61" s="311"/>
      <c r="E61" s="310"/>
      <c r="F61" s="310"/>
      <c r="G61" s="312"/>
      <c r="H61" s="312"/>
      <c r="I61" s="312"/>
      <c r="J61" s="312"/>
      <c r="K61" s="312"/>
      <c r="L61" s="312"/>
      <c r="M61" s="313"/>
    </row>
    <row r="62" spans="1:13" s="77" customFormat="1" ht="3" customHeight="1" x14ac:dyDescent="0.25">
      <c r="A62" s="2"/>
      <c r="B62" s="3"/>
      <c r="C62" s="4"/>
      <c r="D62" s="5"/>
      <c r="E62" s="3"/>
      <c r="F62" s="5"/>
      <c r="G62" s="51"/>
      <c r="H62" s="51"/>
      <c r="I62" s="51"/>
      <c r="J62" s="51"/>
      <c r="K62" s="51"/>
      <c r="L62" s="51"/>
      <c r="M62" s="6"/>
    </row>
    <row r="63" spans="1:13" s="83" customFormat="1" ht="22.5" customHeight="1" x14ac:dyDescent="0.25">
      <c r="A63" s="282"/>
      <c r="B63" s="283">
        <v>1</v>
      </c>
      <c r="C63" s="291"/>
      <c r="D63" s="284" t="s">
        <v>80</v>
      </c>
      <c r="E63" s="285"/>
      <c r="F63" s="285"/>
      <c r="G63" s="272"/>
      <c r="H63" s="272"/>
      <c r="I63" s="272"/>
      <c r="J63" s="272"/>
      <c r="K63" s="272"/>
      <c r="L63" s="272"/>
      <c r="M63" s="273"/>
    </row>
    <row r="64" spans="1:13" s="108" customFormat="1" ht="28.5" customHeight="1" x14ac:dyDescent="0.25">
      <c r="A64" s="20"/>
      <c r="B64" s="21"/>
      <c r="C64" s="9" t="s">
        <v>16</v>
      </c>
      <c r="D64" s="10"/>
      <c r="E64" s="28" t="s">
        <v>81</v>
      </c>
      <c r="F64" s="123" t="s">
        <v>106</v>
      </c>
      <c r="G64" s="81" t="s">
        <v>82</v>
      </c>
      <c r="H64" s="19"/>
      <c r="I64" s="13">
        <v>43830</v>
      </c>
      <c r="J64" s="14"/>
      <c r="K64" s="81" t="s">
        <v>19</v>
      </c>
      <c r="L64" s="81" t="s">
        <v>83</v>
      </c>
      <c r="M64" s="111"/>
    </row>
    <row r="65" spans="1:13" s="108" customFormat="1" ht="56.25" customHeight="1" x14ac:dyDescent="0.25">
      <c r="A65" s="20"/>
      <c r="B65" s="21"/>
      <c r="C65" s="9" t="s">
        <v>21</v>
      </c>
      <c r="D65" s="10"/>
      <c r="E65" s="28" t="s">
        <v>84</v>
      </c>
      <c r="F65" s="123" t="s">
        <v>106</v>
      </c>
      <c r="G65" s="81" t="s">
        <v>85</v>
      </c>
      <c r="H65" s="19"/>
      <c r="I65" s="13">
        <v>43830</v>
      </c>
      <c r="J65" s="14">
        <v>2529305.8200000003</v>
      </c>
      <c r="K65" s="81" t="s">
        <v>19</v>
      </c>
      <c r="L65" s="81" t="s">
        <v>83</v>
      </c>
      <c r="M65" s="122" t="s">
        <v>117</v>
      </c>
    </row>
    <row r="66" spans="1:13" s="108" customFormat="1" ht="56.25" customHeight="1" x14ac:dyDescent="0.25">
      <c r="A66" s="20"/>
      <c r="B66" s="21"/>
      <c r="C66" s="9" t="s">
        <v>24</v>
      </c>
      <c r="D66" s="10"/>
      <c r="E66" s="28" t="s">
        <v>86</v>
      </c>
      <c r="F66" s="120"/>
      <c r="G66" s="81" t="s">
        <v>85</v>
      </c>
      <c r="H66" s="123" t="s">
        <v>106</v>
      </c>
      <c r="I66" s="13"/>
      <c r="J66" s="14"/>
      <c r="K66" s="81" t="s">
        <v>19</v>
      </c>
      <c r="L66" s="81" t="s">
        <v>83</v>
      </c>
      <c r="M66" s="122" t="s">
        <v>107</v>
      </c>
    </row>
    <row r="67" spans="1:13" s="108" customFormat="1" ht="56.25" customHeight="1" x14ac:dyDescent="0.25">
      <c r="A67" s="20"/>
      <c r="B67" s="21"/>
      <c r="C67" s="9" t="s">
        <v>43</v>
      </c>
      <c r="D67" s="10"/>
      <c r="E67" s="52" t="s">
        <v>87</v>
      </c>
      <c r="F67" s="120"/>
      <c r="G67" s="81" t="s">
        <v>85</v>
      </c>
      <c r="H67" s="123" t="s">
        <v>106</v>
      </c>
      <c r="I67" s="13"/>
      <c r="J67" s="14"/>
      <c r="K67" s="81" t="s">
        <v>19</v>
      </c>
      <c r="L67" s="81" t="s">
        <v>83</v>
      </c>
      <c r="M67" s="122" t="s">
        <v>107</v>
      </c>
    </row>
    <row r="68" spans="1:13" s="108" customFormat="1" ht="56.25" customHeight="1" x14ac:dyDescent="0.25">
      <c r="A68" s="20"/>
      <c r="B68" s="21"/>
      <c r="C68" s="9" t="s">
        <v>65</v>
      </c>
      <c r="D68" s="10"/>
      <c r="E68" s="28" t="s">
        <v>88</v>
      </c>
      <c r="F68" s="120"/>
      <c r="G68" s="81"/>
      <c r="H68" s="123" t="s">
        <v>106</v>
      </c>
      <c r="I68" s="13"/>
      <c r="J68" s="14"/>
      <c r="K68" s="81" t="s">
        <v>19</v>
      </c>
      <c r="L68" s="81" t="s">
        <v>89</v>
      </c>
      <c r="M68" s="122" t="s">
        <v>107</v>
      </c>
    </row>
    <row r="69" spans="1:13" s="78" customFormat="1" ht="3.75" customHeight="1" x14ac:dyDescent="0.25">
      <c r="A69" s="33"/>
      <c r="B69" s="34"/>
      <c r="C69" s="41"/>
      <c r="D69" s="42"/>
      <c r="E69" s="53"/>
      <c r="F69" s="54"/>
      <c r="G69" s="97"/>
      <c r="H69" s="98"/>
      <c r="I69" s="97"/>
      <c r="J69" s="97"/>
      <c r="K69" s="97"/>
      <c r="L69" s="97"/>
      <c r="M69" s="90"/>
    </row>
    <row r="70" spans="1:13" s="78" customFormat="1" ht="22.5" customHeight="1" x14ac:dyDescent="0.25">
      <c r="A70" s="258" t="s">
        <v>56</v>
      </c>
      <c r="B70" s="259"/>
      <c r="C70" s="260" t="s">
        <v>90</v>
      </c>
      <c r="D70" s="261"/>
      <c r="E70" s="259"/>
      <c r="F70" s="259"/>
      <c r="G70" s="292"/>
      <c r="H70" s="292"/>
      <c r="I70" s="292"/>
      <c r="J70" s="292"/>
      <c r="K70" s="292"/>
      <c r="L70" s="292"/>
      <c r="M70" s="262"/>
    </row>
    <row r="71" spans="1:13" s="79" customFormat="1" ht="56.25" customHeight="1" x14ac:dyDescent="0.25">
      <c r="A71" s="55"/>
      <c r="B71" s="56">
        <v>1</v>
      </c>
      <c r="C71" s="9"/>
      <c r="D71" s="214" t="s">
        <v>91</v>
      </c>
      <c r="E71" s="215"/>
      <c r="F71" s="121"/>
      <c r="G71" s="81" t="s">
        <v>92</v>
      </c>
      <c r="H71" s="123" t="s">
        <v>106</v>
      </c>
      <c r="I71" s="13"/>
      <c r="J71" s="14"/>
      <c r="K71" s="81"/>
      <c r="L71" s="81" t="s">
        <v>93</v>
      </c>
      <c r="M71" s="122" t="s">
        <v>107</v>
      </c>
    </row>
    <row r="72" spans="1:13" s="79" customFormat="1" ht="56.25" customHeight="1" x14ac:dyDescent="0.25">
      <c r="A72" s="55"/>
      <c r="B72" s="56">
        <v>2</v>
      </c>
      <c r="C72" s="9"/>
      <c r="D72" s="214" t="s">
        <v>94</v>
      </c>
      <c r="E72" s="215"/>
      <c r="F72" s="121"/>
      <c r="G72" s="81" t="s">
        <v>92</v>
      </c>
      <c r="H72" s="123" t="s">
        <v>106</v>
      </c>
      <c r="I72" s="13"/>
      <c r="J72" s="14"/>
      <c r="K72" s="81"/>
      <c r="L72" s="81" t="s">
        <v>93</v>
      </c>
      <c r="M72" s="122" t="s">
        <v>107</v>
      </c>
    </row>
    <row r="73" spans="1:13" s="79" customFormat="1" ht="56.25" customHeight="1" x14ac:dyDescent="0.25">
      <c r="A73" s="55"/>
      <c r="B73" s="56">
        <v>3</v>
      </c>
      <c r="C73" s="9"/>
      <c r="D73" s="214" t="s">
        <v>95</v>
      </c>
      <c r="E73" s="215"/>
      <c r="F73" s="121"/>
      <c r="G73" s="81" t="s">
        <v>92</v>
      </c>
      <c r="H73" s="123" t="s">
        <v>106</v>
      </c>
      <c r="I73" s="13"/>
      <c r="J73" s="14"/>
      <c r="K73" s="81"/>
      <c r="L73" s="81" t="s">
        <v>96</v>
      </c>
      <c r="M73" s="122" t="s">
        <v>107</v>
      </c>
    </row>
    <row r="74" spans="1:13" s="78" customFormat="1" ht="7.5" customHeight="1" x14ac:dyDescent="0.25">
      <c r="A74" s="57"/>
      <c r="B74" s="38"/>
      <c r="C74" s="58"/>
      <c r="D74" s="59"/>
      <c r="E74" s="60"/>
      <c r="F74" s="61"/>
      <c r="G74" s="82"/>
      <c r="H74" s="99"/>
      <c r="I74" s="82"/>
      <c r="J74" s="82"/>
      <c r="K74" s="82"/>
      <c r="L74" s="82"/>
      <c r="M74" s="115"/>
    </row>
    <row r="75" spans="1:13" s="77" customFormat="1" ht="22.5" customHeight="1" x14ac:dyDescent="0.25">
      <c r="A75" s="366"/>
      <c r="B75" s="367" t="s">
        <v>97</v>
      </c>
      <c r="C75" s="368"/>
      <c r="D75" s="369"/>
      <c r="E75" s="367"/>
      <c r="F75" s="369"/>
      <c r="G75" s="369"/>
      <c r="H75" s="369"/>
      <c r="I75" s="369"/>
      <c r="J75" s="369"/>
      <c r="K75" s="369"/>
      <c r="L75" s="369"/>
      <c r="M75" s="370"/>
    </row>
    <row r="76" spans="1:13" s="78" customFormat="1" ht="22.5" customHeight="1" x14ac:dyDescent="0.25">
      <c r="A76" s="302" t="s">
        <v>13</v>
      </c>
      <c r="B76" s="303"/>
      <c r="C76" s="304" t="s">
        <v>14</v>
      </c>
      <c r="D76" s="305"/>
      <c r="E76" s="306"/>
      <c r="F76" s="306"/>
      <c r="G76" s="307"/>
      <c r="H76" s="307"/>
      <c r="I76" s="307"/>
      <c r="J76" s="307"/>
      <c r="K76" s="307"/>
      <c r="L76" s="307"/>
      <c r="M76" s="308"/>
    </row>
    <row r="77" spans="1:13" s="78" customFormat="1" ht="22.5" customHeight="1" x14ac:dyDescent="0.25">
      <c r="A77" s="293"/>
      <c r="B77" s="294">
        <v>1</v>
      </c>
      <c r="C77" s="295"/>
      <c r="D77" s="296" t="s">
        <v>98</v>
      </c>
      <c r="E77" s="297"/>
      <c r="F77" s="298"/>
      <c r="G77" s="299"/>
      <c r="H77" s="300"/>
      <c r="I77" s="299"/>
      <c r="J77" s="299"/>
      <c r="K77" s="299"/>
      <c r="L77" s="299"/>
      <c r="M77" s="301"/>
    </row>
    <row r="78" spans="1:13" s="108" customFormat="1" ht="57" customHeight="1" x14ac:dyDescent="0.25">
      <c r="A78" s="20"/>
      <c r="B78" s="21"/>
      <c r="C78" s="9" t="s">
        <v>16</v>
      </c>
      <c r="D78" s="10"/>
      <c r="E78" s="28" t="s">
        <v>99</v>
      </c>
      <c r="F78" s="120"/>
      <c r="G78" s="81"/>
      <c r="H78" s="123" t="s">
        <v>106</v>
      </c>
      <c r="I78" s="13">
        <v>43830</v>
      </c>
      <c r="J78" s="14">
        <v>33332455.812600002</v>
      </c>
      <c r="K78" s="81" t="s">
        <v>19</v>
      </c>
      <c r="L78" s="81" t="s">
        <v>100</v>
      </c>
      <c r="M78" s="122" t="s">
        <v>119</v>
      </c>
    </row>
    <row r="79" spans="1:13" s="108" customFormat="1" ht="53.25" customHeight="1" x14ac:dyDescent="0.25">
      <c r="A79" s="20"/>
      <c r="B79" s="21"/>
      <c r="C79" s="9" t="s">
        <v>21</v>
      </c>
      <c r="D79" s="10"/>
      <c r="E79" s="28" t="s">
        <v>98</v>
      </c>
      <c r="F79" s="120"/>
      <c r="G79" s="81"/>
      <c r="H79" s="123" t="s">
        <v>106</v>
      </c>
      <c r="I79" s="13"/>
      <c r="J79" s="14"/>
      <c r="K79" s="81" t="s">
        <v>19</v>
      </c>
      <c r="L79" s="81" t="s">
        <v>100</v>
      </c>
      <c r="M79" s="122" t="s">
        <v>118</v>
      </c>
    </row>
    <row r="80" spans="1:13" s="108" customFormat="1" ht="13.5" hidden="1" customHeight="1" thickBot="1" x14ac:dyDescent="0.3">
      <c r="A80" s="101"/>
      <c r="B80" s="102"/>
      <c r="C80" s="103"/>
      <c r="D80" s="104"/>
      <c r="E80" s="105"/>
      <c r="F80" s="106"/>
      <c r="G80" s="107"/>
      <c r="H80" s="107"/>
      <c r="I80" s="107"/>
      <c r="J80" s="107"/>
      <c r="K80" s="107"/>
      <c r="L80" s="107"/>
      <c r="M80" s="116"/>
    </row>
  </sheetData>
  <sheetProtection formatCells="0" formatColumns="0" formatRows="0" selectLockedCells="1"/>
  <mergeCells count="19">
    <mergeCell ref="D73:E73"/>
    <mergeCell ref="D29:E29"/>
    <mergeCell ref="D30:E30"/>
    <mergeCell ref="D31:E31"/>
    <mergeCell ref="C43:E43"/>
    <mergeCell ref="D71:E71"/>
    <mergeCell ref="D72:E72"/>
    <mergeCell ref="A1:M1"/>
    <mergeCell ref="A2:M2"/>
    <mergeCell ref="A3:M3"/>
    <mergeCell ref="A4:K4"/>
    <mergeCell ref="A6:E8"/>
    <mergeCell ref="F6:I6"/>
    <mergeCell ref="J6:K6"/>
    <mergeCell ref="L6:L8"/>
    <mergeCell ref="M6:M8"/>
    <mergeCell ref="F7:G7"/>
    <mergeCell ref="H7:I7"/>
    <mergeCell ref="J7:K7"/>
  </mergeCells>
  <printOptions horizontalCentered="1"/>
  <pageMargins left="0.31496062992125984" right="0.31496062992125984" top="0.39370078740157483" bottom="0.39370078740157483" header="0" footer="0.19685039370078741"/>
  <pageSetup scale="51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2"/>
  <sheetViews>
    <sheetView workbookViewId="0">
      <pane ySplit="8" topLeftCell="A9" activePane="bottomLeft" state="frozen"/>
      <selection pane="bottomLeft" activeCell="G82" sqref="G82"/>
    </sheetView>
  </sheetViews>
  <sheetFormatPr baseColWidth="10" defaultColWidth="11" defaultRowHeight="12.75" x14ac:dyDescent="0.2"/>
  <cols>
    <col min="1" max="1" width="2.140625" style="125" customWidth="1"/>
    <col min="2" max="2" width="38.7109375" style="125" customWidth="1"/>
    <col min="3" max="3" width="18.140625" style="126" customWidth="1"/>
    <col min="4" max="4" width="18" style="125" customWidth="1"/>
    <col min="5" max="5" width="14.7109375" style="126" customWidth="1"/>
    <col min="6" max="6" width="13.85546875" style="125" customWidth="1"/>
    <col min="7" max="7" width="14.85546875" style="125" customWidth="1"/>
    <col min="8" max="8" width="13.7109375" style="126" customWidth="1"/>
    <col min="9" max="256" width="11" style="125"/>
    <col min="257" max="257" width="2.140625" style="125" customWidth="1"/>
    <col min="258" max="258" width="38.7109375" style="125" customWidth="1"/>
    <col min="259" max="259" width="18.140625" style="125" customWidth="1"/>
    <col min="260" max="260" width="18" style="125" customWidth="1"/>
    <col min="261" max="261" width="14.7109375" style="125" customWidth="1"/>
    <col min="262" max="262" width="13.85546875" style="125" customWidth="1"/>
    <col min="263" max="263" width="14.85546875" style="125" customWidth="1"/>
    <col min="264" max="264" width="13.7109375" style="125" customWidth="1"/>
    <col min="265" max="512" width="11" style="125"/>
    <col min="513" max="513" width="2.140625" style="125" customWidth="1"/>
    <col min="514" max="514" width="38.7109375" style="125" customWidth="1"/>
    <col min="515" max="515" width="18.140625" style="125" customWidth="1"/>
    <col min="516" max="516" width="18" style="125" customWidth="1"/>
    <col min="517" max="517" width="14.7109375" style="125" customWidth="1"/>
    <col min="518" max="518" width="13.85546875" style="125" customWidth="1"/>
    <col min="519" max="519" width="14.85546875" style="125" customWidth="1"/>
    <col min="520" max="520" width="13.7109375" style="125" customWidth="1"/>
    <col min="521" max="768" width="11" style="125"/>
    <col min="769" max="769" width="2.140625" style="125" customWidth="1"/>
    <col min="770" max="770" width="38.7109375" style="125" customWidth="1"/>
    <col min="771" max="771" width="18.140625" style="125" customWidth="1"/>
    <col min="772" max="772" width="18" style="125" customWidth="1"/>
    <col min="773" max="773" width="14.7109375" style="125" customWidth="1"/>
    <col min="774" max="774" width="13.85546875" style="125" customWidth="1"/>
    <col min="775" max="775" width="14.85546875" style="125" customWidth="1"/>
    <col min="776" max="776" width="13.7109375" style="125" customWidth="1"/>
    <col min="777" max="1024" width="11" style="125"/>
    <col min="1025" max="1025" width="2.140625" style="125" customWidth="1"/>
    <col min="1026" max="1026" width="38.7109375" style="125" customWidth="1"/>
    <col min="1027" max="1027" width="18.140625" style="125" customWidth="1"/>
    <col min="1028" max="1028" width="18" style="125" customWidth="1"/>
    <col min="1029" max="1029" width="14.7109375" style="125" customWidth="1"/>
    <col min="1030" max="1030" width="13.85546875" style="125" customWidth="1"/>
    <col min="1031" max="1031" width="14.85546875" style="125" customWidth="1"/>
    <col min="1032" max="1032" width="13.7109375" style="125" customWidth="1"/>
    <col min="1033" max="1280" width="11" style="125"/>
    <col min="1281" max="1281" width="2.140625" style="125" customWidth="1"/>
    <col min="1282" max="1282" width="38.7109375" style="125" customWidth="1"/>
    <col min="1283" max="1283" width="18.140625" style="125" customWidth="1"/>
    <col min="1284" max="1284" width="18" style="125" customWidth="1"/>
    <col min="1285" max="1285" width="14.7109375" style="125" customWidth="1"/>
    <col min="1286" max="1286" width="13.85546875" style="125" customWidth="1"/>
    <col min="1287" max="1287" width="14.85546875" style="125" customWidth="1"/>
    <col min="1288" max="1288" width="13.7109375" style="125" customWidth="1"/>
    <col min="1289" max="1536" width="11" style="125"/>
    <col min="1537" max="1537" width="2.140625" style="125" customWidth="1"/>
    <col min="1538" max="1538" width="38.7109375" style="125" customWidth="1"/>
    <col min="1539" max="1539" width="18.140625" style="125" customWidth="1"/>
    <col min="1540" max="1540" width="18" style="125" customWidth="1"/>
    <col min="1541" max="1541" width="14.7109375" style="125" customWidth="1"/>
    <col min="1542" max="1542" width="13.85546875" style="125" customWidth="1"/>
    <col min="1543" max="1543" width="14.85546875" style="125" customWidth="1"/>
    <col min="1544" max="1544" width="13.7109375" style="125" customWidth="1"/>
    <col min="1545" max="1792" width="11" style="125"/>
    <col min="1793" max="1793" width="2.140625" style="125" customWidth="1"/>
    <col min="1794" max="1794" width="38.7109375" style="125" customWidth="1"/>
    <col min="1795" max="1795" width="18.140625" style="125" customWidth="1"/>
    <col min="1796" max="1796" width="18" style="125" customWidth="1"/>
    <col min="1797" max="1797" width="14.7109375" style="125" customWidth="1"/>
    <col min="1798" max="1798" width="13.85546875" style="125" customWidth="1"/>
    <col min="1799" max="1799" width="14.85546875" style="125" customWidth="1"/>
    <col min="1800" max="1800" width="13.7109375" style="125" customWidth="1"/>
    <col min="1801" max="2048" width="11" style="125"/>
    <col min="2049" max="2049" width="2.140625" style="125" customWidth="1"/>
    <col min="2050" max="2050" width="38.7109375" style="125" customWidth="1"/>
    <col min="2051" max="2051" width="18.140625" style="125" customWidth="1"/>
    <col min="2052" max="2052" width="18" style="125" customWidth="1"/>
    <col min="2053" max="2053" width="14.7109375" style="125" customWidth="1"/>
    <col min="2054" max="2054" width="13.85546875" style="125" customWidth="1"/>
    <col min="2055" max="2055" width="14.85546875" style="125" customWidth="1"/>
    <col min="2056" max="2056" width="13.7109375" style="125" customWidth="1"/>
    <col min="2057" max="2304" width="11" style="125"/>
    <col min="2305" max="2305" width="2.140625" style="125" customWidth="1"/>
    <col min="2306" max="2306" width="38.7109375" style="125" customWidth="1"/>
    <col min="2307" max="2307" width="18.140625" style="125" customWidth="1"/>
    <col min="2308" max="2308" width="18" style="125" customWidth="1"/>
    <col min="2309" max="2309" width="14.7109375" style="125" customWidth="1"/>
    <col min="2310" max="2310" width="13.85546875" style="125" customWidth="1"/>
    <col min="2311" max="2311" width="14.85546875" style="125" customWidth="1"/>
    <col min="2312" max="2312" width="13.7109375" style="125" customWidth="1"/>
    <col min="2313" max="2560" width="11" style="125"/>
    <col min="2561" max="2561" width="2.140625" style="125" customWidth="1"/>
    <col min="2562" max="2562" width="38.7109375" style="125" customWidth="1"/>
    <col min="2563" max="2563" width="18.140625" style="125" customWidth="1"/>
    <col min="2564" max="2564" width="18" style="125" customWidth="1"/>
    <col min="2565" max="2565" width="14.7109375" style="125" customWidth="1"/>
    <col min="2566" max="2566" width="13.85546875" style="125" customWidth="1"/>
    <col min="2567" max="2567" width="14.85546875" style="125" customWidth="1"/>
    <col min="2568" max="2568" width="13.7109375" style="125" customWidth="1"/>
    <col min="2569" max="2816" width="11" style="125"/>
    <col min="2817" max="2817" width="2.140625" style="125" customWidth="1"/>
    <col min="2818" max="2818" width="38.7109375" style="125" customWidth="1"/>
    <col min="2819" max="2819" width="18.140625" style="125" customWidth="1"/>
    <col min="2820" max="2820" width="18" style="125" customWidth="1"/>
    <col min="2821" max="2821" width="14.7109375" style="125" customWidth="1"/>
    <col min="2822" max="2822" width="13.85546875" style="125" customWidth="1"/>
    <col min="2823" max="2823" width="14.85546875" style="125" customWidth="1"/>
    <col min="2824" max="2824" width="13.7109375" style="125" customWidth="1"/>
    <col min="2825" max="3072" width="11" style="125"/>
    <col min="3073" max="3073" width="2.140625" style="125" customWidth="1"/>
    <col min="3074" max="3074" width="38.7109375" style="125" customWidth="1"/>
    <col min="3075" max="3075" width="18.140625" style="125" customWidth="1"/>
    <col min="3076" max="3076" width="18" style="125" customWidth="1"/>
    <col min="3077" max="3077" width="14.7109375" style="125" customWidth="1"/>
    <col min="3078" max="3078" width="13.85546875" style="125" customWidth="1"/>
    <col min="3079" max="3079" width="14.85546875" style="125" customWidth="1"/>
    <col min="3080" max="3080" width="13.7109375" style="125" customWidth="1"/>
    <col min="3081" max="3328" width="11" style="125"/>
    <col min="3329" max="3329" width="2.140625" style="125" customWidth="1"/>
    <col min="3330" max="3330" width="38.7109375" style="125" customWidth="1"/>
    <col min="3331" max="3331" width="18.140625" style="125" customWidth="1"/>
    <col min="3332" max="3332" width="18" style="125" customWidth="1"/>
    <col min="3333" max="3333" width="14.7109375" style="125" customWidth="1"/>
    <col min="3334" max="3334" width="13.85546875" style="125" customWidth="1"/>
    <col min="3335" max="3335" width="14.85546875" style="125" customWidth="1"/>
    <col min="3336" max="3336" width="13.7109375" style="125" customWidth="1"/>
    <col min="3337" max="3584" width="11" style="125"/>
    <col min="3585" max="3585" width="2.140625" style="125" customWidth="1"/>
    <col min="3586" max="3586" width="38.7109375" style="125" customWidth="1"/>
    <col min="3587" max="3587" width="18.140625" style="125" customWidth="1"/>
    <col min="3588" max="3588" width="18" style="125" customWidth="1"/>
    <col min="3589" max="3589" width="14.7109375" style="125" customWidth="1"/>
    <col min="3590" max="3590" width="13.85546875" style="125" customWidth="1"/>
    <col min="3591" max="3591" width="14.85546875" style="125" customWidth="1"/>
    <col min="3592" max="3592" width="13.7109375" style="125" customWidth="1"/>
    <col min="3593" max="3840" width="11" style="125"/>
    <col min="3841" max="3841" width="2.140625" style="125" customWidth="1"/>
    <col min="3842" max="3842" width="38.7109375" style="125" customWidth="1"/>
    <col min="3843" max="3843" width="18.140625" style="125" customWidth="1"/>
    <col min="3844" max="3844" width="18" style="125" customWidth="1"/>
    <col min="3845" max="3845" width="14.7109375" style="125" customWidth="1"/>
    <col min="3846" max="3846" width="13.85546875" style="125" customWidth="1"/>
    <col min="3847" max="3847" width="14.85546875" style="125" customWidth="1"/>
    <col min="3848" max="3848" width="13.7109375" style="125" customWidth="1"/>
    <col min="3849" max="4096" width="11" style="125"/>
    <col min="4097" max="4097" width="2.140625" style="125" customWidth="1"/>
    <col min="4098" max="4098" width="38.7109375" style="125" customWidth="1"/>
    <col min="4099" max="4099" width="18.140625" style="125" customWidth="1"/>
    <col min="4100" max="4100" width="18" style="125" customWidth="1"/>
    <col min="4101" max="4101" width="14.7109375" style="125" customWidth="1"/>
    <col min="4102" max="4102" width="13.85546875" style="125" customWidth="1"/>
    <col min="4103" max="4103" width="14.85546875" style="125" customWidth="1"/>
    <col min="4104" max="4104" width="13.7109375" style="125" customWidth="1"/>
    <col min="4105" max="4352" width="11" style="125"/>
    <col min="4353" max="4353" width="2.140625" style="125" customWidth="1"/>
    <col min="4354" max="4354" width="38.7109375" style="125" customWidth="1"/>
    <col min="4355" max="4355" width="18.140625" style="125" customWidth="1"/>
    <col min="4356" max="4356" width="18" style="125" customWidth="1"/>
    <col min="4357" max="4357" width="14.7109375" style="125" customWidth="1"/>
    <col min="4358" max="4358" width="13.85546875" style="125" customWidth="1"/>
    <col min="4359" max="4359" width="14.85546875" style="125" customWidth="1"/>
    <col min="4360" max="4360" width="13.7109375" style="125" customWidth="1"/>
    <col min="4361" max="4608" width="11" style="125"/>
    <col min="4609" max="4609" width="2.140625" style="125" customWidth="1"/>
    <col min="4610" max="4610" width="38.7109375" style="125" customWidth="1"/>
    <col min="4611" max="4611" width="18.140625" style="125" customWidth="1"/>
    <col min="4612" max="4612" width="18" style="125" customWidth="1"/>
    <col min="4613" max="4613" width="14.7109375" style="125" customWidth="1"/>
    <col min="4614" max="4614" width="13.85546875" style="125" customWidth="1"/>
    <col min="4615" max="4615" width="14.85546875" style="125" customWidth="1"/>
    <col min="4616" max="4616" width="13.7109375" style="125" customWidth="1"/>
    <col min="4617" max="4864" width="11" style="125"/>
    <col min="4865" max="4865" width="2.140625" style="125" customWidth="1"/>
    <col min="4866" max="4866" width="38.7109375" style="125" customWidth="1"/>
    <col min="4867" max="4867" width="18.140625" style="125" customWidth="1"/>
    <col min="4868" max="4868" width="18" style="125" customWidth="1"/>
    <col min="4869" max="4869" width="14.7109375" style="125" customWidth="1"/>
    <col min="4870" max="4870" width="13.85546875" style="125" customWidth="1"/>
    <col min="4871" max="4871" width="14.85546875" style="125" customWidth="1"/>
    <col min="4872" max="4872" width="13.7109375" style="125" customWidth="1"/>
    <col min="4873" max="5120" width="11" style="125"/>
    <col min="5121" max="5121" width="2.140625" style="125" customWidth="1"/>
    <col min="5122" max="5122" width="38.7109375" style="125" customWidth="1"/>
    <col min="5123" max="5123" width="18.140625" style="125" customWidth="1"/>
    <col min="5124" max="5124" width="18" style="125" customWidth="1"/>
    <col min="5125" max="5125" width="14.7109375" style="125" customWidth="1"/>
    <col min="5126" max="5126" width="13.85546875" style="125" customWidth="1"/>
    <col min="5127" max="5127" width="14.85546875" style="125" customWidth="1"/>
    <col min="5128" max="5128" width="13.7109375" style="125" customWidth="1"/>
    <col min="5129" max="5376" width="11" style="125"/>
    <col min="5377" max="5377" width="2.140625" style="125" customWidth="1"/>
    <col min="5378" max="5378" width="38.7109375" style="125" customWidth="1"/>
    <col min="5379" max="5379" width="18.140625" style="125" customWidth="1"/>
    <col min="5380" max="5380" width="18" style="125" customWidth="1"/>
    <col min="5381" max="5381" width="14.7109375" style="125" customWidth="1"/>
    <col min="5382" max="5382" width="13.85546875" style="125" customWidth="1"/>
    <col min="5383" max="5383" width="14.85546875" style="125" customWidth="1"/>
    <col min="5384" max="5384" width="13.7109375" style="125" customWidth="1"/>
    <col min="5385" max="5632" width="11" style="125"/>
    <col min="5633" max="5633" width="2.140625" style="125" customWidth="1"/>
    <col min="5634" max="5634" width="38.7109375" style="125" customWidth="1"/>
    <col min="5635" max="5635" width="18.140625" style="125" customWidth="1"/>
    <col min="5636" max="5636" width="18" style="125" customWidth="1"/>
    <col min="5637" max="5637" width="14.7109375" style="125" customWidth="1"/>
    <col min="5638" max="5638" width="13.85546875" style="125" customWidth="1"/>
    <col min="5639" max="5639" width="14.85546875" style="125" customWidth="1"/>
    <col min="5640" max="5640" width="13.7109375" style="125" customWidth="1"/>
    <col min="5641" max="5888" width="11" style="125"/>
    <col min="5889" max="5889" width="2.140625" style="125" customWidth="1"/>
    <col min="5890" max="5890" width="38.7109375" style="125" customWidth="1"/>
    <col min="5891" max="5891" width="18.140625" style="125" customWidth="1"/>
    <col min="5892" max="5892" width="18" style="125" customWidth="1"/>
    <col min="5893" max="5893" width="14.7109375" style="125" customWidth="1"/>
    <col min="5894" max="5894" width="13.85546875" style="125" customWidth="1"/>
    <col min="5895" max="5895" width="14.85546875" style="125" customWidth="1"/>
    <col min="5896" max="5896" width="13.7109375" style="125" customWidth="1"/>
    <col min="5897" max="6144" width="11" style="125"/>
    <col min="6145" max="6145" width="2.140625" style="125" customWidth="1"/>
    <col min="6146" max="6146" width="38.7109375" style="125" customWidth="1"/>
    <col min="6147" max="6147" width="18.140625" style="125" customWidth="1"/>
    <col min="6148" max="6148" width="18" style="125" customWidth="1"/>
    <col min="6149" max="6149" width="14.7109375" style="125" customWidth="1"/>
    <col min="6150" max="6150" width="13.85546875" style="125" customWidth="1"/>
    <col min="6151" max="6151" width="14.85546875" style="125" customWidth="1"/>
    <col min="6152" max="6152" width="13.7109375" style="125" customWidth="1"/>
    <col min="6153" max="6400" width="11" style="125"/>
    <col min="6401" max="6401" width="2.140625" style="125" customWidth="1"/>
    <col min="6402" max="6402" width="38.7109375" style="125" customWidth="1"/>
    <col min="6403" max="6403" width="18.140625" style="125" customWidth="1"/>
    <col min="6404" max="6404" width="18" style="125" customWidth="1"/>
    <col min="6405" max="6405" width="14.7109375" style="125" customWidth="1"/>
    <col min="6406" max="6406" width="13.85546875" style="125" customWidth="1"/>
    <col min="6407" max="6407" width="14.85546875" style="125" customWidth="1"/>
    <col min="6408" max="6408" width="13.7109375" style="125" customWidth="1"/>
    <col min="6409" max="6656" width="11" style="125"/>
    <col min="6657" max="6657" width="2.140625" style="125" customWidth="1"/>
    <col min="6658" max="6658" width="38.7109375" style="125" customWidth="1"/>
    <col min="6659" max="6659" width="18.140625" style="125" customWidth="1"/>
    <col min="6660" max="6660" width="18" style="125" customWidth="1"/>
    <col min="6661" max="6661" width="14.7109375" style="125" customWidth="1"/>
    <col min="6662" max="6662" width="13.85546875" style="125" customWidth="1"/>
    <col min="6663" max="6663" width="14.85546875" style="125" customWidth="1"/>
    <col min="6664" max="6664" width="13.7109375" style="125" customWidth="1"/>
    <col min="6665" max="6912" width="11" style="125"/>
    <col min="6913" max="6913" width="2.140625" style="125" customWidth="1"/>
    <col min="6914" max="6914" width="38.7109375" style="125" customWidth="1"/>
    <col min="6915" max="6915" width="18.140625" style="125" customWidth="1"/>
    <col min="6916" max="6916" width="18" style="125" customWidth="1"/>
    <col min="6917" max="6917" width="14.7109375" style="125" customWidth="1"/>
    <col min="6918" max="6918" width="13.85546875" style="125" customWidth="1"/>
    <col min="6919" max="6919" width="14.85546875" style="125" customWidth="1"/>
    <col min="6920" max="6920" width="13.7109375" style="125" customWidth="1"/>
    <col min="6921" max="7168" width="11" style="125"/>
    <col min="7169" max="7169" width="2.140625" style="125" customWidth="1"/>
    <col min="7170" max="7170" width="38.7109375" style="125" customWidth="1"/>
    <col min="7171" max="7171" width="18.140625" style="125" customWidth="1"/>
    <col min="7172" max="7172" width="18" style="125" customWidth="1"/>
    <col min="7173" max="7173" width="14.7109375" style="125" customWidth="1"/>
    <col min="7174" max="7174" width="13.85546875" style="125" customWidth="1"/>
    <col min="7175" max="7175" width="14.85546875" style="125" customWidth="1"/>
    <col min="7176" max="7176" width="13.7109375" style="125" customWidth="1"/>
    <col min="7177" max="7424" width="11" style="125"/>
    <col min="7425" max="7425" width="2.140625" style="125" customWidth="1"/>
    <col min="7426" max="7426" width="38.7109375" style="125" customWidth="1"/>
    <col min="7427" max="7427" width="18.140625" style="125" customWidth="1"/>
    <col min="7428" max="7428" width="18" style="125" customWidth="1"/>
    <col min="7429" max="7429" width="14.7109375" style="125" customWidth="1"/>
    <col min="7430" max="7430" width="13.85546875" style="125" customWidth="1"/>
    <col min="7431" max="7431" width="14.85546875" style="125" customWidth="1"/>
    <col min="7432" max="7432" width="13.7109375" style="125" customWidth="1"/>
    <col min="7433" max="7680" width="11" style="125"/>
    <col min="7681" max="7681" width="2.140625" style="125" customWidth="1"/>
    <col min="7682" max="7682" width="38.7109375" style="125" customWidth="1"/>
    <col min="7683" max="7683" width="18.140625" style="125" customWidth="1"/>
    <col min="7684" max="7684" width="18" style="125" customWidth="1"/>
    <col min="7685" max="7685" width="14.7109375" style="125" customWidth="1"/>
    <col min="7686" max="7686" width="13.85546875" style="125" customWidth="1"/>
    <col min="7687" max="7687" width="14.85546875" style="125" customWidth="1"/>
    <col min="7688" max="7688" width="13.7109375" style="125" customWidth="1"/>
    <col min="7689" max="7936" width="11" style="125"/>
    <col min="7937" max="7937" width="2.140625" style="125" customWidth="1"/>
    <col min="7938" max="7938" width="38.7109375" style="125" customWidth="1"/>
    <col min="7939" max="7939" width="18.140625" style="125" customWidth="1"/>
    <col min="7940" max="7940" width="18" style="125" customWidth="1"/>
    <col min="7941" max="7941" width="14.7109375" style="125" customWidth="1"/>
    <col min="7942" max="7942" width="13.85546875" style="125" customWidth="1"/>
    <col min="7943" max="7943" width="14.85546875" style="125" customWidth="1"/>
    <col min="7944" max="7944" width="13.7109375" style="125" customWidth="1"/>
    <col min="7945" max="8192" width="11" style="125"/>
    <col min="8193" max="8193" width="2.140625" style="125" customWidth="1"/>
    <col min="8194" max="8194" width="38.7109375" style="125" customWidth="1"/>
    <col min="8195" max="8195" width="18.140625" style="125" customWidth="1"/>
    <col min="8196" max="8196" width="18" style="125" customWidth="1"/>
    <col min="8197" max="8197" width="14.7109375" style="125" customWidth="1"/>
    <col min="8198" max="8198" width="13.85546875" style="125" customWidth="1"/>
    <col min="8199" max="8199" width="14.85546875" style="125" customWidth="1"/>
    <col min="8200" max="8200" width="13.7109375" style="125" customWidth="1"/>
    <col min="8201" max="8448" width="11" style="125"/>
    <col min="8449" max="8449" width="2.140625" style="125" customWidth="1"/>
    <col min="8450" max="8450" width="38.7109375" style="125" customWidth="1"/>
    <col min="8451" max="8451" width="18.140625" style="125" customWidth="1"/>
    <col min="8452" max="8452" width="18" style="125" customWidth="1"/>
    <col min="8453" max="8453" width="14.7109375" style="125" customWidth="1"/>
    <col min="8454" max="8454" width="13.85546875" style="125" customWidth="1"/>
    <col min="8455" max="8455" width="14.85546875" style="125" customWidth="1"/>
    <col min="8456" max="8456" width="13.7109375" style="125" customWidth="1"/>
    <col min="8457" max="8704" width="11" style="125"/>
    <col min="8705" max="8705" width="2.140625" style="125" customWidth="1"/>
    <col min="8706" max="8706" width="38.7109375" style="125" customWidth="1"/>
    <col min="8707" max="8707" width="18.140625" style="125" customWidth="1"/>
    <col min="8708" max="8708" width="18" style="125" customWidth="1"/>
    <col min="8709" max="8709" width="14.7109375" style="125" customWidth="1"/>
    <col min="8710" max="8710" width="13.85546875" style="125" customWidth="1"/>
    <col min="8711" max="8711" width="14.85546875" style="125" customWidth="1"/>
    <col min="8712" max="8712" width="13.7109375" style="125" customWidth="1"/>
    <col min="8713" max="8960" width="11" style="125"/>
    <col min="8961" max="8961" width="2.140625" style="125" customWidth="1"/>
    <col min="8962" max="8962" width="38.7109375" style="125" customWidth="1"/>
    <col min="8963" max="8963" width="18.140625" style="125" customWidth="1"/>
    <col min="8964" max="8964" width="18" style="125" customWidth="1"/>
    <col min="8965" max="8965" width="14.7109375" style="125" customWidth="1"/>
    <col min="8966" max="8966" width="13.85546875" style="125" customWidth="1"/>
    <col min="8967" max="8967" width="14.85546875" style="125" customWidth="1"/>
    <col min="8968" max="8968" width="13.7109375" style="125" customWidth="1"/>
    <col min="8969" max="9216" width="11" style="125"/>
    <col min="9217" max="9217" width="2.140625" style="125" customWidth="1"/>
    <col min="9218" max="9218" width="38.7109375" style="125" customWidth="1"/>
    <col min="9219" max="9219" width="18.140625" style="125" customWidth="1"/>
    <col min="9220" max="9220" width="18" style="125" customWidth="1"/>
    <col min="9221" max="9221" width="14.7109375" style="125" customWidth="1"/>
    <col min="9222" max="9222" width="13.85546875" style="125" customWidth="1"/>
    <col min="9223" max="9223" width="14.85546875" style="125" customWidth="1"/>
    <col min="9224" max="9224" width="13.7109375" style="125" customWidth="1"/>
    <col min="9225" max="9472" width="11" style="125"/>
    <col min="9473" max="9473" width="2.140625" style="125" customWidth="1"/>
    <col min="9474" max="9474" width="38.7109375" style="125" customWidth="1"/>
    <col min="9475" max="9475" width="18.140625" style="125" customWidth="1"/>
    <col min="9476" max="9476" width="18" style="125" customWidth="1"/>
    <col min="9477" max="9477" width="14.7109375" style="125" customWidth="1"/>
    <col min="9478" max="9478" width="13.85546875" style="125" customWidth="1"/>
    <col min="9479" max="9479" width="14.85546875" style="125" customWidth="1"/>
    <col min="9480" max="9480" width="13.7109375" style="125" customWidth="1"/>
    <col min="9481" max="9728" width="11" style="125"/>
    <col min="9729" max="9729" width="2.140625" style="125" customWidth="1"/>
    <col min="9730" max="9730" width="38.7109375" style="125" customWidth="1"/>
    <col min="9731" max="9731" width="18.140625" style="125" customWidth="1"/>
    <col min="9732" max="9732" width="18" style="125" customWidth="1"/>
    <col min="9733" max="9733" width="14.7109375" style="125" customWidth="1"/>
    <col min="9734" max="9734" width="13.85546875" style="125" customWidth="1"/>
    <col min="9735" max="9735" width="14.85546875" style="125" customWidth="1"/>
    <col min="9736" max="9736" width="13.7109375" style="125" customWidth="1"/>
    <col min="9737" max="9984" width="11" style="125"/>
    <col min="9985" max="9985" width="2.140625" style="125" customWidth="1"/>
    <col min="9986" max="9986" width="38.7109375" style="125" customWidth="1"/>
    <col min="9987" max="9987" width="18.140625" style="125" customWidth="1"/>
    <col min="9988" max="9988" width="18" style="125" customWidth="1"/>
    <col min="9989" max="9989" width="14.7109375" style="125" customWidth="1"/>
    <col min="9990" max="9990" width="13.85546875" style="125" customWidth="1"/>
    <col min="9991" max="9991" width="14.85546875" style="125" customWidth="1"/>
    <col min="9992" max="9992" width="13.7109375" style="125" customWidth="1"/>
    <col min="9993" max="10240" width="11" style="125"/>
    <col min="10241" max="10241" width="2.140625" style="125" customWidth="1"/>
    <col min="10242" max="10242" width="38.7109375" style="125" customWidth="1"/>
    <col min="10243" max="10243" width="18.140625" style="125" customWidth="1"/>
    <col min="10244" max="10244" width="18" style="125" customWidth="1"/>
    <col min="10245" max="10245" width="14.7109375" style="125" customWidth="1"/>
    <col min="10246" max="10246" width="13.85546875" style="125" customWidth="1"/>
    <col min="10247" max="10247" width="14.85546875" style="125" customWidth="1"/>
    <col min="10248" max="10248" width="13.7109375" style="125" customWidth="1"/>
    <col min="10249" max="10496" width="11" style="125"/>
    <col min="10497" max="10497" width="2.140625" style="125" customWidth="1"/>
    <col min="10498" max="10498" width="38.7109375" style="125" customWidth="1"/>
    <col min="10499" max="10499" width="18.140625" style="125" customWidth="1"/>
    <col min="10500" max="10500" width="18" style="125" customWidth="1"/>
    <col min="10501" max="10501" width="14.7109375" style="125" customWidth="1"/>
    <col min="10502" max="10502" width="13.85546875" style="125" customWidth="1"/>
    <col min="10503" max="10503" width="14.85546875" style="125" customWidth="1"/>
    <col min="10504" max="10504" width="13.7109375" style="125" customWidth="1"/>
    <col min="10505" max="10752" width="11" style="125"/>
    <col min="10753" max="10753" width="2.140625" style="125" customWidth="1"/>
    <col min="10754" max="10754" width="38.7109375" style="125" customWidth="1"/>
    <col min="10755" max="10755" width="18.140625" style="125" customWidth="1"/>
    <col min="10756" max="10756" width="18" style="125" customWidth="1"/>
    <col min="10757" max="10757" width="14.7109375" style="125" customWidth="1"/>
    <col min="10758" max="10758" width="13.85546875" style="125" customWidth="1"/>
    <col min="10759" max="10759" width="14.85546875" style="125" customWidth="1"/>
    <col min="10760" max="10760" width="13.7109375" style="125" customWidth="1"/>
    <col min="10761" max="11008" width="11" style="125"/>
    <col min="11009" max="11009" width="2.140625" style="125" customWidth="1"/>
    <col min="11010" max="11010" width="38.7109375" style="125" customWidth="1"/>
    <col min="11011" max="11011" width="18.140625" style="125" customWidth="1"/>
    <col min="11012" max="11012" width="18" style="125" customWidth="1"/>
    <col min="11013" max="11013" width="14.7109375" style="125" customWidth="1"/>
    <col min="11014" max="11014" width="13.85546875" style="125" customWidth="1"/>
    <col min="11015" max="11015" width="14.85546875" style="125" customWidth="1"/>
    <col min="11016" max="11016" width="13.7109375" style="125" customWidth="1"/>
    <col min="11017" max="11264" width="11" style="125"/>
    <col min="11265" max="11265" width="2.140625" style="125" customWidth="1"/>
    <col min="11266" max="11266" width="38.7109375" style="125" customWidth="1"/>
    <col min="11267" max="11267" width="18.140625" style="125" customWidth="1"/>
    <col min="11268" max="11268" width="18" style="125" customWidth="1"/>
    <col min="11269" max="11269" width="14.7109375" style="125" customWidth="1"/>
    <col min="11270" max="11270" width="13.85546875" style="125" customWidth="1"/>
    <col min="11271" max="11271" width="14.85546875" style="125" customWidth="1"/>
    <col min="11272" max="11272" width="13.7109375" style="125" customWidth="1"/>
    <col min="11273" max="11520" width="11" style="125"/>
    <col min="11521" max="11521" width="2.140625" style="125" customWidth="1"/>
    <col min="11522" max="11522" width="38.7109375" style="125" customWidth="1"/>
    <col min="11523" max="11523" width="18.140625" style="125" customWidth="1"/>
    <col min="11524" max="11524" width="18" style="125" customWidth="1"/>
    <col min="11525" max="11525" width="14.7109375" style="125" customWidth="1"/>
    <col min="11526" max="11526" width="13.85546875" style="125" customWidth="1"/>
    <col min="11527" max="11527" width="14.85546875" style="125" customWidth="1"/>
    <col min="11528" max="11528" width="13.7109375" style="125" customWidth="1"/>
    <col min="11529" max="11776" width="11" style="125"/>
    <col min="11777" max="11777" width="2.140625" style="125" customWidth="1"/>
    <col min="11778" max="11778" width="38.7109375" style="125" customWidth="1"/>
    <col min="11779" max="11779" width="18.140625" style="125" customWidth="1"/>
    <col min="11780" max="11780" width="18" style="125" customWidth="1"/>
    <col min="11781" max="11781" width="14.7109375" style="125" customWidth="1"/>
    <col min="11782" max="11782" width="13.85546875" style="125" customWidth="1"/>
    <col min="11783" max="11783" width="14.85546875" style="125" customWidth="1"/>
    <col min="11784" max="11784" width="13.7109375" style="125" customWidth="1"/>
    <col min="11785" max="12032" width="11" style="125"/>
    <col min="12033" max="12033" width="2.140625" style="125" customWidth="1"/>
    <col min="12034" max="12034" width="38.7109375" style="125" customWidth="1"/>
    <col min="12035" max="12035" width="18.140625" style="125" customWidth="1"/>
    <col min="12036" max="12036" width="18" style="125" customWidth="1"/>
    <col min="12037" max="12037" width="14.7109375" style="125" customWidth="1"/>
    <col min="12038" max="12038" width="13.85546875" style="125" customWidth="1"/>
    <col min="12039" max="12039" width="14.85546875" style="125" customWidth="1"/>
    <col min="12040" max="12040" width="13.7109375" style="125" customWidth="1"/>
    <col min="12041" max="12288" width="11" style="125"/>
    <col min="12289" max="12289" width="2.140625" style="125" customWidth="1"/>
    <col min="12290" max="12290" width="38.7109375" style="125" customWidth="1"/>
    <col min="12291" max="12291" width="18.140625" style="125" customWidth="1"/>
    <col min="12292" max="12292" width="18" style="125" customWidth="1"/>
    <col min="12293" max="12293" width="14.7109375" style="125" customWidth="1"/>
    <col min="12294" max="12294" width="13.85546875" style="125" customWidth="1"/>
    <col min="12295" max="12295" width="14.85546875" style="125" customWidth="1"/>
    <col min="12296" max="12296" width="13.7109375" style="125" customWidth="1"/>
    <col min="12297" max="12544" width="11" style="125"/>
    <col min="12545" max="12545" width="2.140625" style="125" customWidth="1"/>
    <col min="12546" max="12546" width="38.7109375" style="125" customWidth="1"/>
    <col min="12547" max="12547" width="18.140625" style="125" customWidth="1"/>
    <col min="12548" max="12548" width="18" style="125" customWidth="1"/>
    <col min="12549" max="12549" width="14.7109375" style="125" customWidth="1"/>
    <col min="12550" max="12550" width="13.85546875" style="125" customWidth="1"/>
    <col min="12551" max="12551" width="14.85546875" style="125" customWidth="1"/>
    <col min="12552" max="12552" width="13.7109375" style="125" customWidth="1"/>
    <col min="12553" max="12800" width="11" style="125"/>
    <col min="12801" max="12801" width="2.140625" style="125" customWidth="1"/>
    <col min="12802" max="12802" width="38.7109375" style="125" customWidth="1"/>
    <col min="12803" max="12803" width="18.140625" style="125" customWidth="1"/>
    <col min="12804" max="12804" width="18" style="125" customWidth="1"/>
    <col min="12805" max="12805" width="14.7109375" style="125" customWidth="1"/>
    <col min="12806" max="12806" width="13.85546875" style="125" customWidth="1"/>
    <col min="12807" max="12807" width="14.85546875" style="125" customWidth="1"/>
    <col min="12808" max="12808" width="13.7109375" style="125" customWidth="1"/>
    <col min="12809" max="13056" width="11" style="125"/>
    <col min="13057" max="13057" width="2.140625" style="125" customWidth="1"/>
    <col min="13058" max="13058" width="38.7109375" style="125" customWidth="1"/>
    <col min="13059" max="13059" width="18.140625" style="125" customWidth="1"/>
    <col min="13060" max="13060" width="18" style="125" customWidth="1"/>
    <col min="13061" max="13061" width="14.7109375" style="125" customWidth="1"/>
    <col min="13062" max="13062" width="13.85546875" style="125" customWidth="1"/>
    <col min="13063" max="13063" width="14.85546875" style="125" customWidth="1"/>
    <col min="13064" max="13064" width="13.7109375" style="125" customWidth="1"/>
    <col min="13065" max="13312" width="11" style="125"/>
    <col min="13313" max="13313" width="2.140625" style="125" customWidth="1"/>
    <col min="13314" max="13314" width="38.7109375" style="125" customWidth="1"/>
    <col min="13315" max="13315" width="18.140625" style="125" customWidth="1"/>
    <col min="13316" max="13316" width="18" style="125" customWidth="1"/>
    <col min="13317" max="13317" width="14.7109375" style="125" customWidth="1"/>
    <col min="13318" max="13318" width="13.85546875" style="125" customWidth="1"/>
    <col min="13319" max="13319" width="14.85546875" style="125" customWidth="1"/>
    <col min="13320" max="13320" width="13.7109375" style="125" customWidth="1"/>
    <col min="13321" max="13568" width="11" style="125"/>
    <col min="13569" max="13569" width="2.140625" style="125" customWidth="1"/>
    <col min="13570" max="13570" width="38.7109375" style="125" customWidth="1"/>
    <col min="13571" max="13571" width="18.140625" style="125" customWidth="1"/>
    <col min="13572" max="13572" width="18" style="125" customWidth="1"/>
    <col min="13573" max="13573" width="14.7109375" style="125" customWidth="1"/>
    <col min="13574" max="13574" width="13.85546875" style="125" customWidth="1"/>
    <col min="13575" max="13575" width="14.85546875" style="125" customWidth="1"/>
    <col min="13576" max="13576" width="13.7109375" style="125" customWidth="1"/>
    <col min="13577" max="13824" width="11" style="125"/>
    <col min="13825" max="13825" width="2.140625" style="125" customWidth="1"/>
    <col min="13826" max="13826" width="38.7109375" style="125" customWidth="1"/>
    <col min="13827" max="13827" width="18.140625" style="125" customWidth="1"/>
    <col min="13828" max="13828" width="18" style="125" customWidth="1"/>
    <col min="13829" max="13829" width="14.7109375" style="125" customWidth="1"/>
    <col min="13830" max="13830" width="13.85546875" style="125" customWidth="1"/>
    <col min="13831" max="13831" width="14.85546875" style="125" customWidth="1"/>
    <col min="13832" max="13832" width="13.7109375" style="125" customWidth="1"/>
    <col min="13833" max="14080" width="11" style="125"/>
    <col min="14081" max="14081" width="2.140625" style="125" customWidth="1"/>
    <col min="14082" max="14082" width="38.7109375" style="125" customWidth="1"/>
    <col min="14083" max="14083" width="18.140625" style="125" customWidth="1"/>
    <col min="14084" max="14084" width="18" style="125" customWidth="1"/>
    <col min="14085" max="14085" width="14.7109375" style="125" customWidth="1"/>
    <col min="14086" max="14086" width="13.85546875" style="125" customWidth="1"/>
    <col min="14087" max="14087" width="14.85546875" style="125" customWidth="1"/>
    <col min="14088" max="14088" width="13.7109375" style="125" customWidth="1"/>
    <col min="14089" max="14336" width="11" style="125"/>
    <col min="14337" max="14337" width="2.140625" style="125" customWidth="1"/>
    <col min="14338" max="14338" width="38.7109375" style="125" customWidth="1"/>
    <col min="14339" max="14339" width="18.140625" style="125" customWidth="1"/>
    <col min="14340" max="14340" width="18" style="125" customWidth="1"/>
    <col min="14341" max="14341" width="14.7109375" style="125" customWidth="1"/>
    <col min="14342" max="14342" width="13.85546875" style="125" customWidth="1"/>
    <col min="14343" max="14343" width="14.85546875" style="125" customWidth="1"/>
    <col min="14344" max="14344" width="13.7109375" style="125" customWidth="1"/>
    <col min="14345" max="14592" width="11" style="125"/>
    <col min="14593" max="14593" width="2.140625" style="125" customWidth="1"/>
    <col min="14594" max="14594" width="38.7109375" style="125" customWidth="1"/>
    <col min="14595" max="14595" width="18.140625" style="125" customWidth="1"/>
    <col min="14596" max="14596" width="18" style="125" customWidth="1"/>
    <col min="14597" max="14597" width="14.7109375" style="125" customWidth="1"/>
    <col min="14598" max="14598" width="13.85546875" style="125" customWidth="1"/>
    <col min="14599" max="14599" width="14.85546875" style="125" customWidth="1"/>
    <col min="14600" max="14600" width="13.7109375" style="125" customWidth="1"/>
    <col min="14601" max="14848" width="11" style="125"/>
    <col min="14849" max="14849" width="2.140625" style="125" customWidth="1"/>
    <col min="14850" max="14850" width="38.7109375" style="125" customWidth="1"/>
    <col min="14851" max="14851" width="18.140625" style="125" customWidth="1"/>
    <col min="14852" max="14852" width="18" style="125" customWidth="1"/>
    <col min="14853" max="14853" width="14.7109375" style="125" customWidth="1"/>
    <col min="14854" max="14854" width="13.85546875" style="125" customWidth="1"/>
    <col min="14855" max="14855" width="14.85546875" style="125" customWidth="1"/>
    <col min="14856" max="14856" width="13.7109375" style="125" customWidth="1"/>
    <col min="14857" max="15104" width="11" style="125"/>
    <col min="15105" max="15105" width="2.140625" style="125" customWidth="1"/>
    <col min="15106" max="15106" width="38.7109375" style="125" customWidth="1"/>
    <col min="15107" max="15107" width="18.140625" style="125" customWidth="1"/>
    <col min="15108" max="15108" width="18" style="125" customWidth="1"/>
    <col min="15109" max="15109" width="14.7109375" style="125" customWidth="1"/>
    <col min="15110" max="15110" width="13.85546875" style="125" customWidth="1"/>
    <col min="15111" max="15111" width="14.85546875" style="125" customWidth="1"/>
    <col min="15112" max="15112" width="13.7109375" style="125" customWidth="1"/>
    <col min="15113" max="15360" width="11" style="125"/>
    <col min="15361" max="15361" width="2.140625" style="125" customWidth="1"/>
    <col min="15362" max="15362" width="38.7109375" style="125" customWidth="1"/>
    <col min="15363" max="15363" width="18.140625" style="125" customWidth="1"/>
    <col min="15364" max="15364" width="18" style="125" customWidth="1"/>
    <col min="15365" max="15365" width="14.7109375" style="125" customWidth="1"/>
    <col min="15366" max="15366" width="13.85546875" style="125" customWidth="1"/>
    <col min="15367" max="15367" width="14.85546875" style="125" customWidth="1"/>
    <col min="15368" max="15368" width="13.7109375" style="125" customWidth="1"/>
    <col min="15369" max="15616" width="11" style="125"/>
    <col min="15617" max="15617" width="2.140625" style="125" customWidth="1"/>
    <col min="15618" max="15618" width="38.7109375" style="125" customWidth="1"/>
    <col min="15619" max="15619" width="18.140625" style="125" customWidth="1"/>
    <col min="15620" max="15620" width="18" style="125" customWidth="1"/>
    <col min="15621" max="15621" width="14.7109375" style="125" customWidth="1"/>
    <col min="15622" max="15622" width="13.85546875" style="125" customWidth="1"/>
    <col min="15623" max="15623" width="14.85546875" style="125" customWidth="1"/>
    <col min="15624" max="15624" width="13.7109375" style="125" customWidth="1"/>
    <col min="15625" max="15872" width="11" style="125"/>
    <col min="15873" max="15873" width="2.140625" style="125" customWidth="1"/>
    <col min="15874" max="15874" width="38.7109375" style="125" customWidth="1"/>
    <col min="15875" max="15875" width="18.140625" style="125" customWidth="1"/>
    <col min="15876" max="15876" width="18" style="125" customWidth="1"/>
    <col min="15877" max="15877" width="14.7109375" style="125" customWidth="1"/>
    <col min="15878" max="15878" width="13.85546875" style="125" customWidth="1"/>
    <col min="15879" max="15879" width="14.85546875" style="125" customWidth="1"/>
    <col min="15880" max="15880" width="13.7109375" style="125" customWidth="1"/>
    <col min="15881" max="16128" width="11" style="125"/>
    <col min="16129" max="16129" width="2.140625" style="125" customWidth="1"/>
    <col min="16130" max="16130" width="38.7109375" style="125" customWidth="1"/>
    <col min="16131" max="16131" width="18.140625" style="125" customWidth="1"/>
    <col min="16132" max="16132" width="18" style="125" customWidth="1"/>
    <col min="16133" max="16133" width="14.7109375" style="125" customWidth="1"/>
    <col min="16134" max="16134" width="13.85546875" style="125" customWidth="1"/>
    <col min="16135" max="16135" width="14.85546875" style="125" customWidth="1"/>
    <col min="16136" max="16136" width="13.7109375" style="125" customWidth="1"/>
    <col min="16137" max="16384" width="11" style="125"/>
  </cols>
  <sheetData>
    <row r="1" spans="2:8" ht="13.5" thickBot="1" x14ac:dyDescent="0.25"/>
    <row r="2" spans="2:8" x14ac:dyDescent="0.2">
      <c r="B2" s="220" t="s">
        <v>120</v>
      </c>
      <c r="C2" s="221"/>
      <c r="D2" s="221"/>
      <c r="E2" s="221"/>
      <c r="F2" s="221"/>
      <c r="G2" s="221"/>
      <c r="H2" s="222"/>
    </row>
    <row r="3" spans="2:8" x14ac:dyDescent="0.2">
      <c r="B3" s="223" t="s">
        <v>121</v>
      </c>
      <c r="C3" s="224"/>
      <c r="D3" s="224"/>
      <c r="E3" s="224"/>
      <c r="F3" s="224"/>
      <c r="G3" s="224"/>
      <c r="H3" s="225"/>
    </row>
    <row r="4" spans="2:8" x14ac:dyDescent="0.2">
      <c r="B4" s="223" t="s">
        <v>122</v>
      </c>
      <c r="C4" s="224"/>
      <c r="D4" s="224"/>
      <c r="E4" s="224"/>
      <c r="F4" s="224"/>
      <c r="G4" s="224"/>
      <c r="H4" s="225"/>
    </row>
    <row r="5" spans="2:8" ht="13.5" thickBot="1" x14ac:dyDescent="0.25">
      <c r="B5" s="226" t="s">
        <v>123</v>
      </c>
      <c r="C5" s="227"/>
      <c r="D5" s="227"/>
      <c r="E5" s="227"/>
      <c r="F5" s="227"/>
      <c r="G5" s="227"/>
      <c r="H5" s="228"/>
    </row>
    <row r="6" spans="2:8" ht="13.5" thickBot="1" x14ac:dyDescent="0.25">
      <c r="B6" s="127"/>
      <c r="C6" s="229" t="s">
        <v>124</v>
      </c>
      <c r="D6" s="230"/>
      <c r="E6" s="230"/>
      <c r="F6" s="230"/>
      <c r="G6" s="231"/>
      <c r="H6" s="218" t="s">
        <v>125</v>
      </c>
    </row>
    <row r="7" spans="2:8" x14ac:dyDescent="0.2">
      <c r="B7" s="128" t="s">
        <v>126</v>
      </c>
      <c r="C7" s="218" t="s">
        <v>127</v>
      </c>
      <c r="D7" s="233" t="s">
        <v>128</v>
      </c>
      <c r="E7" s="218" t="s">
        <v>129</v>
      </c>
      <c r="F7" s="218" t="s">
        <v>130</v>
      </c>
      <c r="G7" s="218" t="s">
        <v>131</v>
      </c>
      <c r="H7" s="232"/>
    </row>
    <row r="8" spans="2:8" ht="13.5" thickBot="1" x14ac:dyDescent="0.25">
      <c r="B8" s="129" t="s">
        <v>132</v>
      </c>
      <c r="C8" s="219"/>
      <c r="D8" s="234"/>
      <c r="E8" s="219"/>
      <c r="F8" s="219"/>
      <c r="G8" s="219"/>
      <c r="H8" s="219"/>
    </row>
    <row r="9" spans="2:8" x14ac:dyDescent="0.2">
      <c r="B9" s="130" t="s">
        <v>133</v>
      </c>
      <c r="C9" s="131"/>
      <c r="D9" s="132"/>
      <c r="E9" s="131"/>
      <c r="F9" s="132"/>
      <c r="G9" s="132"/>
      <c r="H9" s="131"/>
    </row>
    <row r="10" spans="2:8" x14ac:dyDescent="0.2">
      <c r="B10" s="133" t="s">
        <v>134</v>
      </c>
      <c r="C10" s="131"/>
      <c r="D10" s="132"/>
      <c r="E10" s="131">
        <f>C10+D10</f>
        <v>0</v>
      </c>
      <c r="F10" s="132"/>
      <c r="G10" s="132"/>
      <c r="H10" s="131">
        <f>G10-C10</f>
        <v>0</v>
      </c>
    </row>
    <row r="11" spans="2:8" x14ac:dyDescent="0.2">
      <c r="B11" s="133" t="s">
        <v>135</v>
      </c>
      <c r="C11" s="131"/>
      <c r="D11" s="132"/>
      <c r="E11" s="131">
        <f t="shared" ref="E11:E40" si="0">C11+D11</f>
        <v>0</v>
      </c>
      <c r="F11" s="132"/>
      <c r="G11" s="132"/>
      <c r="H11" s="131">
        <f t="shared" ref="H11:H16" si="1">G11-C11</f>
        <v>0</v>
      </c>
    </row>
    <row r="12" spans="2:8" x14ac:dyDescent="0.2">
      <c r="B12" s="133" t="s">
        <v>136</v>
      </c>
      <c r="C12" s="131"/>
      <c r="D12" s="132"/>
      <c r="E12" s="131">
        <f t="shared" si="0"/>
        <v>0</v>
      </c>
      <c r="F12" s="132"/>
      <c r="G12" s="132"/>
      <c r="H12" s="131">
        <f t="shared" si="1"/>
        <v>0</v>
      </c>
    </row>
    <row r="13" spans="2:8" x14ac:dyDescent="0.2">
      <c r="B13" s="133" t="s">
        <v>137</v>
      </c>
      <c r="C13" s="131"/>
      <c r="D13" s="132"/>
      <c r="E13" s="131">
        <f t="shared" si="0"/>
        <v>0</v>
      </c>
      <c r="F13" s="132"/>
      <c r="G13" s="132"/>
      <c r="H13" s="131">
        <f t="shared" si="1"/>
        <v>0</v>
      </c>
    </row>
    <row r="14" spans="2:8" x14ac:dyDescent="0.2">
      <c r="B14" s="133" t="s">
        <v>138</v>
      </c>
      <c r="C14" s="131"/>
      <c r="D14" s="132"/>
      <c r="E14" s="131">
        <f t="shared" si="0"/>
        <v>0</v>
      </c>
      <c r="F14" s="132"/>
      <c r="G14" s="132"/>
      <c r="H14" s="131">
        <f t="shared" si="1"/>
        <v>0</v>
      </c>
    </row>
    <row r="15" spans="2:8" x14ac:dyDescent="0.2">
      <c r="B15" s="133" t="s">
        <v>139</v>
      </c>
      <c r="C15" s="131"/>
      <c r="D15" s="132"/>
      <c r="E15" s="131">
        <f t="shared" si="0"/>
        <v>0</v>
      </c>
      <c r="F15" s="132"/>
      <c r="G15" s="132"/>
      <c r="H15" s="131">
        <f t="shared" si="1"/>
        <v>0</v>
      </c>
    </row>
    <row r="16" spans="2:8" x14ac:dyDescent="0.2">
      <c r="B16" s="133" t="s">
        <v>140</v>
      </c>
      <c r="C16" s="131">
        <v>7000000</v>
      </c>
      <c r="D16" s="132">
        <v>-1609000</v>
      </c>
      <c r="E16" s="131">
        <f t="shared" si="0"/>
        <v>5391000</v>
      </c>
      <c r="F16" s="132">
        <v>9529305.8200000003</v>
      </c>
      <c r="G16" s="132">
        <v>9529305.8200000003</v>
      </c>
      <c r="H16" s="131">
        <f t="shared" si="1"/>
        <v>2529305.8200000003</v>
      </c>
    </row>
    <row r="17" spans="2:8" ht="25.5" x14ac:dyDescent="0.2">
      <c r="B17" s="134" t="s">
        <v>141</v>
      </c>
      <c r="C17" s="131">
        <f t="shared" ref="C17:H17" si="2">SUM(C18:C28)</f>
        <v>0</v>
      </c>
      <c r="D17" s="135">
        <f t="shared" si="2"/>
        <v>0</v>
      </c>
      <c r="E17" s="135">
        <f t="shared" si="2"/>
        <v>0</v>
      </c>
      <c r="F17" s="135">
        <f t="shared" si="2"/>
        <v>0</v>
      </c>
      <c r="G17" s="135">
        <f t="shared" si="2"/>
        <v>0</v>
      </c>
      <c r="H17" s="135">
        <f t="shared" si="2"/>
        <v>0</v>
      </c>
    </row>
    <row r="18" spans="2:8" x14ac:dyDescent="0.2">
      <c r="B18" s="136" t="s">
        <v>142</v>
      </c>
      <c r="C18" s="131"/>
      <c r="D18" s="132"/>
      <c r="E18" s="131">
        <f t="shared" si="0"/>
        <v>0</v>
      </c>
      <c r="F18" s="132"/>
      <c r="G18" s="132"/>
      <c r="H18" s="131">
        <f>G18-C18</f>
        <v>0</v>
      </c>
    </row>
    <row r="19" spans="2:8" x14ac:dyDescent="0.2">
      <c r="B19" s="136" t="s">
        <v>143</v>
      </c>
      <c r="C19" s="131"/>
      <c r="D19" s="132"/>
      <c r="E19" s="131">
        <f t="shared" si="0"/>
        <v>0</v>
      </c>
      <c r="F19" s="132"/>
      <c r="G19" s="132"/>
      <c r="H19" s="131">
        <f t="shared" ref="H19:H40" si="3">G19-C19</f>
        <v>0</v>
      </c>
    </row>
    <row r="20" spans="2:8" x14ac:dyDescent="0.2">
      <c r="B20" s="136" t="s">
        <v>144</v>
      </c>
      <c r="C20" s="131"/>
      <c r="D20" s="132"/>
      <c r="E20" s="131">
        <f t="shared" si="0"/>
        <v>0</v>
      </c>
      <c r="F20" s="132"/>
      <c r="G20" s="132"/>
      <c r="H20" s="131">
        <f t="shared" si="3"/>
        <v>0</v>
      </c>
    </row>
    <row r="21" spans="2:8" x14ac:dyDescent="0.2">
      <c r="B21" s="136" t="s">
        <v>145</v>
      </c>
      <c r="C21" s="131"/>
      <c r="D21" s="132"/>
      <c r="E21" s="131">
        <f t="shared" si="0"/>
        <v>0</v>
      </c>
      <c r="F21" s="132"/>
      <c r="G21" s="132"/>
      <c r="H21" s="131">
        <f t="shared" si="3"/>
        <v>0</v>
      </c>
    </row>
    <row r="22" spans="2:8" x14ac:dyDescent="0.2">
      <c r="B22" s="136" t="s">
        <v>146</v>
      </c>
      <c r="C22" s="131"/>
      <c r="D22" s="132"/>
      <c r="E22" s="131">
        <f t="shared" si="0"/>
        <v>0</v>
      </c>
      <c r="F22" s="132"/>
      <c r="G22" s="132"/>
      <c r="H22" s="131">
        <f t="shared" si="3"/>
        <v>0</v>
      </c>
    </row>
    <row r="23" spans="2:8" ht="25.5" x14ac:dyDescent="0.2">
      <c r="B23" s="137" t="s">
        <v>147</v>
      </c>
      <c r="C23" s="131"/>
      <c r="D23" s="132"/>
      <c r="E23" s="131">
        <f t="shared" si="0"/>
        <v>0</v>
      </c>
      <c r="F23" s="132"/>
      <c r="G23" s="132"/>
      <c r="H23" s="131">
        <f t="shared" si="3"/>
        <v>0</v>
      </c>
    </row>
    <row r="24" spans="2:8" ht="25.5" x14ac:dyDescent="0.2">
      <c r="B24" s="137" t="s">
        <v>148</v>
      </c>
      <c r="C24" s="131"/>
      <c r="D24" s="132"/>
      <c r="E24" s="131">
        <f t="shared" si="0"/>
        <v>0</v>
      </c>
      <c r="F24" s="132"/>
      <c r="G24" s="132"/>
      <c r="H24" s="131">
        <f t="shared" si="3"/>
        <v>0</v>
      </c>
    </row>
    <row r="25" spans="2:8" x14ac:dyDescent="0.2">
      <c r="B25" s="136" t="s">
        <v>149</v>
      </c>
      <c r="C25" s="131"/>
      <c r="D25" s="132"/>
      <c r="E25" s="131">
        <f t="shared" si="0"/>
        <v>0</v>
      </c>
      <c r="F25" s="132"/>
      <c r="G25" s="132"/>
      <c r="H25" s="131">
        <f t="shared" si="3"/>
        <v>0</v>
      </c>
    </row>
    <row r="26" spans="2:8" x14ac:dyDescent="0.2">
      <c r="B26" s="136" t="s">
        <v>150</v>
      </c>
      <c r="C26" s="131"/>
      <c r="D26" s="132"/>
      <c r="E26" s="131">
        <f t="shared" si="0"/>
        <v>0</v>
      </c>
      <c r="F26" s="132"/>
      <c r="G26" s="132"/>
      <c r="H26" s="131">
        <f t="shared" si="3"/>
        <v>0</v>
      </c>
    </row>
    <row r="27" spans="2:8" x14ac:dyDescent="0.2">
      <c r="B27" s="136" t="s">
        <v>151</v>
      </c>
      <c r="C27" s="131"/>
      <c r="D27" s="132"/>
      <c r="E27" s="131">
        <f t="shared" si="0"/>
        <v>0</v>
      </c>
      <c r="F27" s="132"/>
      <c r="G27" s="132"/>
      <c r="H27" s="131">
        <f t="shared" si="3"/>
        <v>0</v>
      </c>
    </row>
    <row r="28" spans="2:8" ht="25.5" x14ac:dyDescent="0.2">
      <c r="B28" s="137" t="s">
        <v>152</v>
      </c>
      <c r="C28" s="131"/>
      <c r="D28" s="132"/>
      <c r="E28" s="131">
        <f t="shared" si="0"/>
        <v>0</v>
      </c>
      <c r="F28" s="132"/>
      <c r="G28" s="132"/>
      <c r="H28" s="131">
        <f t="shared" si="3"/>
        <v>0</v>
      </c>
    </row>
    <row r="29" spans="2:8" ht="25.5" x14ac:dyDescent="0.2">
      <c r="B29" s="134" t="s">
        <v>153</v>
      </c>
      <c r="C29" s="131">
        <f t="shared" ref="C29:H29" si="4">SUM(C30:C34)</f>
        <v>0</v>
      </c>
      <c r="D29" s="131">
        <f t="shared" si="4"/>
        <v>0</v>
      </c>
      <c r="E29" s="131">
        <f t="shared" si="4"/>
        <v>0</v>
      </c>
      <c r="F29" s="131">
        <f t="shared" si="4"/>
        <v>0</v>
      </c>
      <c r="G29" s="131">
        <f t="shared" si="4"/>
        <v>0</v>
      </c>
      <c r="H29" s="131">
        <f t="shared" si="4"/>
        <v>0</v>
      </c>
    </row>
    <row r="30" spans="2:8" x14ac:dyDescent="0.2">
      <c r="B30" s="136" t="s">
        <v>154</v>
      </c>
      <c r="C30" s="131"/>
      <c r="D30" s="132"/>
      <c r="E30" s="131">
        <f t="shared" si="0"/>
        <v>0</v>
      </c>
      <c r="F30" s="132"/>
      <c r="G30" s="132"/>
      <c r="H30" s="131">
        <f t="shared" si="3"/>
        <v>0</v>
      </c>
    </row>
    <row r="31" spans="2:8" x14ac:dyDescent="0.2">
      <c r="B31" s="136" t="s">
        <v>155</v>
      </c>
      <c r="C31" s="131"/>
      <c r="D31" s="132"/>
      <c r="E31" s="131">
        <f t="shared" si="0"/>
        <v>0</v>
      </c>
      <c r="F31" s="132"/>
      <c r="G31" s="132"/>
      <c r="H31" s="131">
        <f t="shared" si="3"/>
        <v>0</v>
      </c>
    </row>
    <row r="32" spans="2:8" x14ac:dyDescent="0.2">
      <c r="B32" s="136" t="s">
        <v>156</v>
      </c>
      <c r="C32" s="131"/>
      <c r="D32" s="132"/>
      <c r="E32" s="131">
        <f t="shared" si="0"/>
        <v>0</v>
      </c>
      <c r="F32" s="132"/>
      <c r="G32" s="132"/>
      <c r="H32" s="131">
        <f t="shared" si="3"/>
        <v>0</v>
      </c>
    </row>
    <row r="33" spans="2:8" ht="25.5" x14ac:dyDescent="0.2">
      <c r="B33" s="137" t="s">
        <v>157</v>
      </c>
      <c r="C33" s="131"/>
      <c r="D33" s="132"/>
      <c r="E33" s="131">
        <f t="shared" si="0"/>
        <v>0</v>
      </c>
      <c r="F33" s="132"/>
      <c r="G33" s="132"/>
      <c r="H33" s="131">
        <f t="shared" si="3"/>
        <v>0</v>
      </c>
    </row>
    <row r="34" spans="2:8" x14ac:dyDescent="0.2">
      <c r="B34" s="136" t="s">
        <v>158</v>
      </c>
      <c r="C34" s="131"/>
      <c r="D34" s="132"/>
      <c r="E34" s="131">
        <f t="shared" si="0"/>
        <v>0</v>
      </c>
      <c r="F34" s="132"/>
      <c r="G34" s="132"/>
      <c r="H34" s="131">
        <f t="shared" si="3"/>
        <v>0</v>
      </c>
    </row>
    <row r="35" spans="2:8" x14ac:dyDescent="0.2">
      <c r="B35" s="133" t="s">
        <v>159</v>
      </c>
      <c r="C35" s="131">
        <v>569045000</v>
      </c>
      <c r="D35" s="132">
        <v>-23033375.609999999</v>
      </c>
      <c r="E35" s="131">
        <f t="shared" si="0"/>
        <v>546011624.38999999</v>
      </c>
      <c r="F35" s="132">
        <v>546011624.38999999</v>
      </c>
      <c r="G35" s="132">
        <v>546011624.38999999</v>
      </c>
      <c r="H35" s="131">
        <f t="shared" si="3"/>
        <v>-23033375.610000014</v>
      </c>
    </row>
    <row r="36" spans="2:8" x14ac:dyDescent="0.2">
      <c r="B36" s="133" t="s">
        <v>160</v>
      </c>
      <c r="C36" s="131">
        <f t="shared" ref="C36:H36" si="5">C37</f>
        <v>0</v>
      </c>
      <c r="D36" s="131">
        <f t="shared" si="5"/>
        <v>0</v>
      </c>
      <c r="E36" s="131">
        <f t="shared" si="5"/>
        <v>0</v>
      </c>
      <c r="F36" s="131">
        <f t="shared" si="5"/>
        <v>0</v>
      </c>
      <c r="G36" s="131">
        <f t="shared" si="5"/>
        <v>0</v>
      </c>
      <c r="H36" s="131">
        <f t="shared" si="5"/>
        <v>0</v>
      </c>
    </row>
    <row r="37" spans="2:8" x14ac:dyDescent="0.2">
      <c r="B37" s="136" t="s">
        <v>161</v>
      </c>
      <c r="C37" s="131"/>
      <c r="D37" s="132"/>
      <c r="E37" s="131">
        <f t="shared" si="0"/>
        <v>0</v>
      </c>
      <c r="F37" s="132"/>
      <c r="G37" s="132"/>
      <c r="H37" s="131">
        <f t="shared" si="3"/>
        <v>0</v>
      </c>
    </row>
    <row r="38" spans="2:8" x14ac:dyDescent="0.2">
      <c r="B38" s="133" t="s">
        <v>162</v>
      </c>
      <c r="C38" s="131">
        <f t="shared" ref="C38:H38" si="6">C39+C40</f>
        <v>0</v>
      </c>
      <c r="D38" s="131">
        <f t="shared" si="6"/>
        <v>0</v>
      </c>
      <c r="E38" s="131">
        <f t="shared" si="6"/>
        <v>0</v>
      </c>
      <c r="F38" s="131">
        <f t="shared" si="6"/>
        <v>0</v>
      </c>
      <c r="G38" s="131">
        <f t="shared" si="6"/>
        <v>0</v>
      </c>
      <c r="H38" s="131">
        <f t="shared" si="6"/>
        <v>0</v>
      </c>
    </row>
    <row r="39" spans="2:8" x14ac:dyDescent="0.2">
      <c r="B39" s="136" t="s">
        <v>163</v>
      </c>
      <c r="C39" s="131"/>
      <c r="D39" s="132"/>
      <c r="E39" s="131">
        <f t="shared" si="0"/>
        <v>0</v>
      </c>
      <c r="F39" s="132"/>
      <c r="G39" s="132"/>
      <c r="H39" s="131">
        <f t="shared" si="3"/>
        <v>0</v>
      </c>
    </row>
    <row r="40" spans="2:8" x14ac:dyDescent="0.2">
      <c r="B40" s="136" t="s">
        <v>164</v>
      </c>
      <c r="C40" s="131"/>
      <c r="D40" s="132"/>
      <c r="E40" s="131">
        <f t="shared" si="0"/>
        <v>0</v>
      </c>
      <c r="F40" s="132"/>
      <c r="G40" s="132"/>
      <c r="H40" s="131">
        <f t="shared" si="3"/>
        <v>0</v>
      </c>
    </row>
    <row r="41" spans="2:8" x14ac:dyDescent="0.2">
      <c r="B41" s="138"/>
      <c r="C41" s="131"/>
      <c r="D41" s="132"/>
      <c r="E41" s="131"/>
      <c r="F41" s="132"/>
      <c r="G41" s="132"/>
      <c r="H41" s="131"/>
    </row>
    <row r="42" spans="2:8" ht="25.5" x14ac:dyDescent="0.2">
      <c r="B42" s="139" t="s">
        <v>165</v>
      </c>
      <c r="C42" s="140">
        <f t="shared" ref="C42:H42" si="7">C10+C11+C12+C13+C14+C15+C16+C17+C29+C35+C36+C38</f>
        <v>576045000</v>
      </c>
      <c r="D42" s="141">
        <f t="shared" si="7"/>
        <v>-24642375.609999999</v>
      </c>
      <c r="E42" s="141">
        <f t="shared" si="7"/>
        <v>551402624.38999999</v>
      </c>
      <c r="F42" s="141">
        <f t="shared" si="7"/>
        <v>555540930.21000004</v>
      </c>
      <c r="G42" s="141">
        <f t="shared" si="7"/>
        <v>555540930.21000004</v>
      </c>
      <c r="H42" s="141">
        <f t="shared" si="7"/>
        <v>-20504069.790000014</v>
      </c>
    </row>
    <row r="43" spans="2:8" x14ac:dyDescent="0.2">
      <c r="B43" s="142"/>
      <c r="C43" s="131"/>
      <c r="D43" s="142"/>
      <c r="E43" s="143"/>
      <c r="F43" s="142"/>
      <c r="G43" s="142"/>
      <c r="H43" s="143"/>
    </row>
    <row r="44" spans="2:8" ht="25.5" x14ac:dyDescent="0.2">
      <c r="B44" s="139" t="s">
        <v>166</v>
      </c>
      <c r="C44" s="144"/>
      <c r="D44" s="145"/>
      <c r="E44" s="144"/>
      <c r="F44" s="145"/>
      <c r="G44" s="145"/>
      <c r="H44" s="131"/>
    </row>
    <row r="45" spans="2:8" x14ac:dyDescent="0.2">
      <c r="B45" s="138"/>
      <c r="C45" s="131"/>
      <c r="D45" s="146"/>
      <c r="E45" s="131"/>
      <c r="F45" s="146"/>
      <c r="G45" s="146"/>
      <c r="H45" s="131"/>
    </row>
    <row r="46" spans="2:8" x14ac:dyDescent="0.2">
      <c r="B46" s="130" t="s">
        <v>167</v>
      </c>
      <c r="C46" s="131"/>
      <c r="D46" s="132"/>
      <c r="E46" s="131"/>
      <c r="F46" s="132"/>
      <c r="G46" s="132"/>
      <c r="H46" s="131"/>
    </row>
    <row r="47" spans="2:8" x14ac:dyDescent="0.2">
      <c r="B47" s="133" t="s">
        <v>168</v>
      </c>
      <c r="C47" s="131">
        <f t="shared" ref="C47:H47" si="8">SUM(C48:C55)</f>
        <v>0</v>
      </c>
      <c r="D47" s="131">
        <f t="shared" si="8"/>
        <v>0</v>
      </c>
      <c r="E47" s="131">
        <f t="shared" si="8"/>
        <v>0</v>
      </c>
      <c r="F47" s="131">
        <f t="shared" si="8"/>
        <v>0</v>
      </c>
      <c r="G47" s="131">
        <f t="shared" si="8"/>
        <v>0</v>
      </c>
      <c r="H47" s="131">
        <f t="shared" si="8"/>
        <v>0</v>
      </c>
    </row>
    <row r="48" spans="2:8" ht="25.5" x14ac:dyDescent="0.2">
      <c r="B48" s="137" t="s">
        <v>169</v>
      </c>
      <c r="C48" s="131"/>
      <c r="D48" s="132"/>
      <c r="E48" s="131">
        <f t="shared" ref="E48:E65" si="9">C48+D48</f>
        <v>0</v>
      </c>
      <c r="F48" s="132"/>
      <c r="G48" s="132"/>
      <c r="H48" s="131">
        <f t="shared" ref="H48:H65" si="10">G48-C48</f>
        <v>0</v>
      </c>
    </row>
    <row r="49" spans="2:8" ht="25.5" x14ac:dyDescent="0.2">
      <c r="B49" s="137" t="s">
        <v>170</v>
      </c>
      <c r="C49" s="131"/>
      <c r="D49" s="132"/>
      <c r="E49" s="131">
        <f t="shared" si="9"/>
        <v>0</v>
      </c>
      <c r="F49" s="132"/>
      <c r="G49" s="132"/>
      <c r="H49" s="131">
        <f t="shared" si="10"/>
        <v>0</v>
      </c>
    </row>
    <row r="50" spans="2:8" ht="25.5" x14ac:dyDescent="0.2">
      <c r="B50" s="137" t="s">
        <v>171</v>
      </c>
      <c r="C50" s="131"/>
      <c r="D50" s="132"/>
      <c r="E50" s="131">
        <f t="shared" si="9"/>
        <v>0</v>
      </c>
      <c r="F50" s="132"/>
      <c r="G50" s="132"/>
      <c r="H50" s="131">
        <f t="shared" si="10"/>
        <v>0</v>
      </c>
    </row>
    <row r="51" spans="2:8" ht="38.25" x14ac:dyDescent="0.2">
      <c r="B51" s="137" t="s">
        <v>172</v>
      </c>
      <c r="C51" s="131"/>
      <c r="D51" s="132"/>
      <c r="E51" s="131">
        <f t="shared" si="9"/>
        <v>0</v>
      </c>
      <c r="F51" s="132"/>
      <c r="G51" s="132"/>
      <c r="H51" s="131">
        <f t="shared" si="10"/>
        <v>0</v>
      </c>
    </row>
    <row r="52" spans="2:8" x14ac:dyDescent="0.2">
      <c r="B52" s="137" t="s">
        <v>173</v>
      </c>
      <c r="C52" s="131"/>
      <c r="D52" s="132"/>
      <c r="E52" s="131">
        <f t="shared" si="9"/>
        <v>0</v>
      </c>
      <c r="F52" s="132"/>
      <c r="G52" s="132"/>
      <c r="H52" s="131">
        <f t="shared" si="10"/>
        <v>0</v>
      </c>
    </row>
    <row r="53" spans="2:8" ht="25.5" x14ac:dyDescent="0.2">
      <c r="B53" s="137" t="s">
        <v>174</v>
      </c>
      <c r="C53" s="131"/>
      <c r="D53" s="132"/>
      <c r="E53" s="131">
        <f t="shared" si="9"/>
        <v>0</v>
      </c>
      <c r="F53" s="132"/>
      <c r="G53" s="132"/>
      <c r="H53" s="131">
        <f t="shared" si="10"/>
        <v>0</v>
      </c>
    </row>
    <row r="54" spans="2:8" ht="25.5" x14ac:dyDescent="0.2">
      <c r="B54" s="137" t="s">
        <v>175</v>
      </c>
      <c r="C54" s="131"/>
      <c r="D54" s="132"/>
      <c r="E54" s="131">
        <f t="shared" si="9"/>
        <v>0</v>
      </c>
      <c r="F54" s="132"/>
      <c r="G54" s="132"/>
      <c r="H54" s="131">
        <f t="shared" si="10"/>
        <v>0</v>
      </c>
    </row>
    <row r="55" spans="2:8" ht="25.5" x14ac:dyDescent="0.2">
      <c r="B55" s="137" t="s">
        <v>176</v>
      </c>
      <c r="C55" s="131"/>
      <c r="D55" s="132"/>
      <c r="E55" s="131">
        <f t="shared" si="9"/>
        <v>0</v>
      </c>
      <c r="F55" s="132"/>
      <c r="G55" s="132"/>
      <c r="H55" s="131">
        <f t="shared" si="10"/>
        <v>0</v>
      </c>
    </row>
    <row r="56" spans="2:8" x14ac:dyDescent="0.2">
      <c r="B56" s="134" t="s">
        <v>177</v>
      </c>
      <c r="C56" s="131">
        <f t="shared" ref="C56:H56" si="11">SUM(C57:C60)</f>
        <v>0</v>
      </c>
      <c r="D56" s="131">
        <f t="shared" si="11"/>
        <v>0</v>
      </c>
      <c r="E56" s="131">
        <f t="shared" si="11"/>
        <v>0</v>
      </c>
      <c r="F56" s="131">
        <f t="shared" si="11"/>
        <v>0</v>
      </c>
      <c r="G56" s="131">
        <f t="shared" si="11"/>
        <v>0</v>
      </c>
      <c r="H56" s="131">
        <f t="shared" si="11"/>
        <v>0</v>
      </c>
    </row>
    <row r="57" spans="2:8" x14ac:dyDescent="0.2">
      <c r="B57" s="137" t="s">
        <v>178</v>
      </c>
      <c r="C57" s="131"/>
      <c r="D57" s="132"/>
      <c r="E57" s="131">
        <f t="shared" si="9"/>
        <v>0</v>
      </c>
      <c r="F57" s="132"/>
      <c r="G57" s="132"/>
      <c r="H57" s="131">
        <f t="shared" si="10"/>
        <v>0</v>
      </c>
    </row>
    <row r="58" spans="2:8" x14ac:dyDescent="0.2">
      <c r="B58" s="137" t="s">
        <v>179</v>
      </c>
      <c r="C58" s="131"/>
      <c r="D58" s="132"/>
      <c r="E58" s="131">
        <f t="shared" si="9"/>
        <v>0</v>
      </c>
      <c r="F58" s="132"/>
      <c r="G58" s="132"/>
      <c r="H58" s="131">
        <f t="shared" si="10"/>
        <v>0</v>
      </c>
    </row>
    <row r="59" spans="2:8" x14ac:dyDescent="0.2">
      <c r="B59" s="137" t="s">
        <v>180</v>
      </c>
      <c r="C59" s="131"/>
      <c r="D59" s="132"/>
      <c r="E59" s="131">
        <f t="shared" si="9"/>
        <v>0</v>
      </c>
      <c r="F59" s="132"/>
      <c r="G59" s="132"/>
      <c r="H59" s="131">
        <f t="shared" si="10"/>
        <v>0</v>
      </c>
    </row>
    <row r="60" spans="2:8" x14ac:dyDescent="0.2">
      <c r="B60" s="137" t="s">
        <v>181</v>
      </c>
      <c r="C60" s="131"/>
      <c r="D60" s="132"/>
      <c r="E60" s="131">
        <f t="shared" si="9"/>
        <v>0</v>
      </c>
      <c r="F60" s="132"/>
      <c r="G60" s="132"/>
      <c r="H60" s="131">
        <f t="shared" si="10"/>
        <v>0</v>
      </c>
    </row>
    <row r="61" spans="2:8" x14ac:dyDescent="0.2">
      <c r="B61" s="134" t="s">
        <v>182</v>
      </c>
      <c r="C61" s="131">
        <f t="shared" ref="C61:H61" si="12">C62+C63</f>
        <v>0</v>
      </c>
      <c r="D61" s="131">
        <f t="shared" si="12"/>
        <v>0</v>
      </c>
      <c r="E61" s="131">
        <f t="shared" si="12"/>
        <v>0</v>
      </c>
      <c r="F61" s="131">
        <f t="shared" si="12"/>
        <v>0</v>
      </c>
      <c r="G61" s="131">
        <f t="shared" si="12"/>
        <v>0</v>
      </c>
      <c r="H61" s="131">
        <f t="shared" si="12"/>
        <v>0</v>
      </c>
    </row>
    <row r="62" spans="2:8" ht="25.5" x14ac:dyDescent="0.2">
      <c r="B62" s="137" t="s">
        <v>183</v>
      </c>
      <c r="C62" s="131"/>
      <c r="D62" s="132"/>
      <c r="E62" s="131">
        <f t="shared" si="9"/>
        <v>0</v>
      </c>
      <c r="F62" s="132"/>
      <c r="G62" s="132"/>
      <c r="H62" s="131">
        <f t="shared" si="10"/>
        <v>0</v>
      </c>
    </row>
    <row r="63" spans="2:8" x14ac:dyDescent="0.2">
      <c r="B63" s="137" t="s">
        <v>184</v>
      </c>
      <c r="C63" s="131"/>
      <c r="D63" s="132"/>
      <c r="E63" s="131">
        <f t="shared" si="9"/>
        <v>0</v>
      </c>
      <c r="F63" s="132"/>
      <c r="G63" s="132"/>
      <c r="H63" s="131">
        <f t="shared" si="10"/>
        <v>0</v>
      </c>
    </row>
    <row r="64" spans="2:8" ht="38.25" x14ac:dyDescent="0.2">
      <c r="B64" s="134" t="s">
        <v>185</v>
      </c>
      <c r="C64" s="131"/>
      <c r="D64" s="132"/>
      <c r="E64" s="131">
        <f t="shared" si="9"/>
        <v>0</v>
      </c>
      <c r="F64" s="132"/>
      <c r="G64" s="132"/>
      <c r="H64" s="131">
        <f t="shared" si="10"/>
        <v>0</v>
      </c>
    </row>
    <row r="65" spans="2:8" x14ac:dyDescent="0.2">
      <c r="B65" s="147" t="s">
        <v>186</v>
      </c>
      <c r="C65" s="148"/>
      <c r="D65" s="149"/>
      <c r="E65" s="148">
        <f t="shared" si="9"/>
        <v>0</v>
      </c>
      <c r="F65" s="149"/>
      <c r="G65" s="149"/>
      <c r="H65" s="148">
        <f t="shared" si="10"/>
        <v>0</v>
      </c>
    </row>
    <row r="66" spans="2:8" x14ac:dyDescent="0.2">
      <c r="B66" s="138"/>
      <c r="C66" s="131"/>
      <c r="D66" s="146"/>
      <c r="E66" s="131"/>
      <c r="F66" s="146"/>
      <c r="G66" s="146"/>
      <c r="H66" s="131"/>
    </row>
    <row r="67" spans="2:8" ht="25.5" x14ac:dyDescent="0.2">
      <c r="B67" s="139" t="s">
        <v>187</v>
      </c>
      <c r="C67" s="140">
        <f t="shared" ref="C67:H67" si="13">C47+C56+C61+C64+C65</f>
        <v>0</v>
      </c>
      <c r="D67" s="140">
        <f t="shared" si="13"/>
        <v>0</v>
      </c>
      <c r="E67" s="140">
        <f t="shared" si="13"/>
        <v>0</v>
      </c>
      <c r="F67" s="140">
        <f t="shared" si="13"/>
        <v>0</v>
      </c>
      <c r="G67" s="140">
        <f t="shared" si="13"/>
        <v>0</v>
      </c>
      <c r="H67" s="140">
        <f t="shared" si="13"/>
        <v>0</v>
      </c>
    </row>
    <row r="68" spans="2:8" x14ac:dyDescent="0.2">
      <c r="B68" s="150"/>
      <c r="C68" s="131"/>
      <c r="D68" s="146"/>
      <c r="E68" s="131"/>
      <c r="F68" s="146"/>
      <c r="G68" s="146"/>
      <c r="H68" s="131"/>
    </row>
    <row r="69" spans="2:8" ht="25.5" x14ac:dyDescent="0.2">
      <c r="B69" s="139" t="s">
        <v>188</v>
      </c>
      <c r="C69" s="140">
        <f t="shared" ref="C69:H69" si="14">C70</f>
        <v>0</v>
      </c>
      <c r="D69" s="140">
        <f t="shared" si="14"/>
        <v>0</v>
      </c>
      <c r="E69" s="140">
        <f t="shared" si="14"/>
        <v>0</v>
      </c>
      <c r="F69" s="140">
        <f t="shared" si="14"/>
        <v>0</v>
      </c>
      <c r="G69" s="140">
        <f t="shared" si="14"/>
        <v>0</v>
      </c>
      <c r="H69" s="140">
        <f t="shared" si="14"/>
        <v>0</v>
      </c>
    </row>
    <row r="70" spans="2:8" x14ac:dyDescent="0.2">
      <c r="B70" s="150" t="s">
        <v>189</v>
      </c>
      <c r="C70" s="131"/>
      <c r="D70" s="132"/>
      <c r="E70" s="131">
        <f>C70+D70</f>
        <v>0</v>
      </c>
      <c r="F70" s="132"/>
      <c r="G70" s="132"/>
      <c r="H70" s="131">
        <f>G70-C70</f>
        <v>0</v>
      </c>
    </row>
    <row r="71" spans="2:8" x14ac:dyDescent="0.2">
      <c r="B71" s="150"/>
      <c r="C71" s="131"/>
      <c r="D71" s="132"/>
      <c r="E71" s="131"/>
      <c r="F71" s="132"/>
      <c r="G71" s="132"/>
      <c r="H71" s="131"/>
    </row>
    <row r="72" spans="2:8" x14ac:dyDescent="0.2">
      <c r="B72" s="139" t="s">
        <v>190</v>
      </c>
      <c r="C72" s="140">
        <f t="shared" ref="C72:H72" si="15">C42+C67+C69</f>
        <v>576045000</v>
      </c>
      <c r="D72" s="140">
        <f t="shared" si="15"/>
        <v>-24642375.609999999</v>
      </c>
      <c r="E72" s="140">
        <f t="shared" si="15"/>
        <v>551402624.38999999</v>
      </c>
      <c r="F72" s="140">
        <f t="shared" si="15"/>
        <v>555540930.21000004</v>
      </c>
      <c r="G72" s="140">
        <f t="shared" si="15"/>
        <v>555540930.21000004</v>
      </c>
      <c r="H72" s="140">
        <f t="shared" si="15"/>
        <v>-20504069.790000014</v>
      </c>
    </row>
    <row r="73" spans="2:8" x14ac:dyDescent="0.2">
      <c r="B73" s="150"/>
      <c r="C73" s="131"/>
      <c r="D73" s="132"/>
      <c r="E73" s="131"/>
      <c r="F73" s="132"/>
      <c r="G73" s="132"/>
      <c r="H73" s="131"/>
    </row>
    <row r="74" spans="2:8" x14ac:dyDescent="0.2">
      <c r="B74" s="139" t="s">
        <v>191</v>
      </c>
      <c r="C74" s="131"/>
      <c r="D74" s="132"/>
      <c r="E74" s="131"/>
      <c r="F74" s="132"/>
      <c r="G74" s="132"/>
      <c r="H74" s="131"/>
    </row>
    <row r="75" spans="2:8" ht="25.5" x14ac:dyDescent="0.2">
      <c r="B75" s="150" t="s">
        <v>192</v>
      </c>
      <c r="C75" s="131"/>
      <c r="D75" s="132"/>
      <c r="E75" s="131">
        <f>C75+D75</f>
        <v>0</v>
      </c>
      <c r="F75" s="132"/>
      <c r="G75" s="132"/>
      <c r="H75" s="131">
        <f>G75-C75</f>
        <v>0</v>
      </c>
    </row>
    <row r="76" spans="2:8" ht="25.5" x14ac:dyDescent="0.2">
      <c r="B76" s="150" t="s">
        <v>193</v>
      </c>
      <c r="C76" s="131"/>
      <c r="D76" s="132"/>
      <c r="E76" s="131">
        <f>C76+D76</f>
        <v>0</v>
      </c>
      <c r="F76" s="132"/>
      <c r="G76" s="132"/>
      <c r="H76" s="131">
        <f>G76-C76</f>
        <v>0</v>
      </c>
    </row>
    <row r="77" spans="2:8" ht="25.5" x14ac:dyDescent="0.2">
      <c r="B77" s="139" t="s">
        <v>194</v>
      </c>
      <c r="C77" s="140">
        <f t="shared" ref="C77:H77" si="16">SUM(C75:C76)</f>
        <v>0</v>
      </c>
      <c r="D77" s="140">
        <f t="shared" si="16"/>
        <v>0</v>
      </c>
      <c r="E77" s="140">
        <f t="shared" si="16"/>
        <v>0</v>
      </c>
      <c r="F77" s="140">
        <f t="shared" si="16"/>
        <v>0</v>
      </c>
      <c r="G77" s="140">
        <f t="shared" si="16"/>
        <v>0</v>
      </c>
      <c r="H77" s="140">
        <f t="shared" si="16"/>
        <v>0</v>
      </c>
    </row>
    <row r="78" spans="2:8" ht="13.5" thickBot="1" x14ac:dyDescent="0.25">
      <c r="B78" s="151"/>
      <c r="C78" s="152"/>
      <c r="D78" s="153"/>
      <c r="E78" s="152"/>
      <c r="F78" s="153"/>
      <c r="G78" s="153"/>
      <c r="H78" s="152"/>
    </row>
    <row r="82" spans="7:7" x14ac:dyDescent="0.2">
      <c r="G82" s="154">
        <f>+G72*0.06</f>
        <v>33332455.812600002</v>
      </c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130" zoomScaleNormal="130" workbookViewId="0">
      <selection activeCell="H18" sqref="H18"/>
    </sheetView>
  </sheetViews>
  <sheetFormatPr baseColWidth="10" defaultRowHeight="15" x14ac:dyDescent="0.25"/>
  <cols>
    <col min="2" max="2" width="37.140625" customWidth="1"/>
    <col min="3" max="3" width="11.42578125" customWidth="1"/>
    <col min="4" max="8" width="11.7109375" customWidth="1"/>
  </cols>
  <sheetData>
    <row r="1" spans="2:8" x14ac:dyDescent="0.25">
      <c r="B1" s="235" t="s">
        <v>195</v>
      </c>
      <c r="C1" s="236"/>
      <c r="D1" s="236"/>
      <c r="E1" s="236"/>
      <c r="F1" s="236"/>
      <c r="G1" s="236"/>
      <c r="H1" s="237"/>
    </row>
    <row r="2" spans="2:8" x14ac:dyDescent="0.25">
      <c r="B2" s="238" t="s">
        <v>196</v>
      </c>
      <c r="C2" s="239"/>
      <c r="D2" s="239"/>
      <c r="E2" s="239"/>
      <c r="F2" s="239"/>
      <c r="G2" s="239"/>
      <c r="H2" s="240"/>
    </row>
    <row r="3" spans="2:8" x14ac:dyDescent="0.25">
      <c r="B3" s="238" t="s">
        <v>123</v>
      </c>
      <c r="C3" s="239"/>
      <c r="D3" s="239"/>
      <c r="E3" s="239"/>
      <c r="F3" s="239"/>
      <c r="G3" s="239"/>
      <c r="H3" s="240"/>
    </row>
    <row r="4" spans="2:8" ht="15.75" thickBot="1" x14ac:dyDescent="0.3">
      <c r="B4" s="241" t="s">
        <v>197</v>
      </c>
      <c r="C4" s="242"/>
      <c r="D4" s="242"/>
      <c r="E4" s="242"/>
      <c r="F4" s="242"/>
      <c r="G4" s="242"/>
      <c r="H4" s="243"/>
    </row>
    <row r="5" spans="2:8" ht="16.5" x14ac:dyDescent="0.25">
      <c r="B5" s="244" t="s">
        <v>198</v>
      </c>
      <c r="C5" s="155" t="s">
        <v>199</v>
      </c>
      <c r="D5" s="156" t="s">
        <v>200</v>
      </c>
      <c r="E5" s="156" t="s">
        <v>201</v>
      </c>
      <c r="F5" s="156" t="s">
        <v>202</v>
      </c>
      <c r="G5" s="156" t="s">
        <v>203</v>
      </c>
      <c r="H5" s="156" t="s">
        <v>204</v>
      </c>
    </row>
    <row r="6" spans="2:8" ht="15.75" thickBot="1" x14ac:dyDescent="0.3">
      <c r="B6" s="245"/>
      <c r="C6" s="157">
        <v>2019</v>
      </c>
      <c r="D6" s="158">
        <v>2020</v>
      </c>
      <c r="E6" s="158">
        <v>2021</v>
      </c>
      <c r="F6" s="158">
        <v>2022</v>
      </c>
      <c r="G6" s="158">
        <v>2023</v>
      </c>
      <c r="H6" s="158">
        <v>2024</v>
      </c>
    </row>
    <row r="7" spans="2:8" x14ac:dyDescent="0.25">
      <c r="B7" s="159"/>
      <c r="C7" s="160"/>
      <c r="D7" s="160"/>
      <c r="E7" s="160"/>
      <c r="F7" s="160"/>
      <c r="G7" s="160"/>
      <c r="H7" s="160"/>
    </row>
    <row r="8" spans="2:8" ht="22.5" x14ac:dyDescent="0.25">
      <c r="B8" s="161" t="s">
        <v>205</v>
      </c>
      <c r="C8" s="162">
        <f>SUM(C9:C20)</f>
        <v>844766955</v>
      </c>
      <c r="D8" s="162">
        <f t="shared" ref="D8:H8" si="0">SUM(D9:D20)</f>
        <v>1089278974.8000002</v>
      </c>
      <c r="E8" s="162">
        <f t="shared" si="0"/>
        <v>1163664751.5</v>
      </c>
      <c r="F8" s="162">
        <f t="shared" si="0"/>
        <v>1248955552.8000002</v>
      </c>
      <c r="G8" s="162">
        <f t="shared" si="0"/>
        <v>1287673123.5000002</v>
      </c>
      <c r="H8" s="162">
        <f t="shared" si="0"/>
        <v>1337892444.9000001</v>
      </c>
    </row>
    <row r="9" spans="2:8" x14ac:dyDescent="0.25">
      <c r="B9" s="163" t="s">
        <v>206</v>
      </c>
      <c r="C9" s="160"/>
      <c r="D9" s="160"/>
      <c r="E9" s="160"/>
      <c r="F9" s="160"/>
      <c r="G9" s="160"/>
      <c r="H9" s="160"/>
    </row>
    <row r="10" spans="2:8" x14ac:dyDescent="0.25">
      <c r="B10" s="163" t="s">
        <v>207</v>
      </c>
      <c r="C10" s="160"/>
      <c r="D10" s="160"/>
      <c r="E10" s="160"/>
      <c r="F10" s="160"/>
      <c r="G10" s="160"/>
      <c r="H10" s="160"/>
    </row>
    <row r="11" spans="2:8" x14ac:dyDescent="0.25">
      <c r="B11" s="163" t="s">
        <v>208</v>
      </c>
      <c r="C11" s="160"/>
      <c r="D11" s="160"/>
      <c r="E11" s="160"/>
      <c r="F11" s="160"/>
      <c r="G11" s="160"/>
      <c r="H11" s="160"/>
    </row>
    <row r="12" spans="2:8" x14ac:dyDescent="0.25">
      <c r="B12" s="163" t="s">
        <v>209</v>
      </c>
      <c r="C12" s="160"/>
      <c r="D12" s="160"/>
      <c r="E12" s="160"/>
      <c r="F12" s="160"/>
      <c r="G12" s="160"/>
      <c r="H12" s="160"/>
    </row>
    <row r="13" spans="2:8" x14ac:dyDescent="0.25">
      <c r="B13" s="163" t="s">
        <v>210</v>
      </c>
      <c r="C13" s="160"/>
      <c r="D13" s="160"/>
      <c r="E13" s="160"/>
      <c r="F13" s="160"/>
      <c r="G13" s="160"/>
      <c r="H13" s="160"/>
    </row>
    <row r="14" spans="2:8" x14ac:dyDescent="0.25">
      <c r="B14" s="163" t="s">
        <v>211</v>
      </c>
      <c r="C14" s="160"/>
      <c r="D14" s="160"/>
      <c r="E14" s="160"/>
      <c r="F14" s="160"/>
      <c r="G14" s="160"/>
      <c r="H14" s="160"/>
    </row>
    <row r="15" spans="2:8" x14ac:dyDescent="0.25">
      <c r="B15" s="163" t="s">
        <v>212</v>
      </c>
      <c r="C15" s="160"/>
      <c r="D15" s="160"/>
      <c r="E15" s="160"/>
      <c r="F15" s="160"/>
      <c r="G15" s="160"/>
      <c r="H15" s="160"/>
    </row>
    <row r="16" spans="2:8" x14ac:dyDescent="0.25">
      <c r="B16" s="163" t="s">
        <v>213</v>
      </c>
      <c r="C16" s="160"/>
      <c r="D16" s="160"/>
      <c r="E16" s="160"/>
      <c r="F16" s="160"/>
      <c r="G16" s="160"/>
      <c r="H16" s="160"/>
    </row>
    <row r="17" spans="2:8" x14ac:dyDescent="0.25">
      <c r="B17" s="163" t="s">
        <v>214</v>
      </c>
      <c r="C17" s="160"/>
      <c r="D17" s="160"/>
      <c r="E17" s="160"/>
      <c r="F17" s="160"/>
      <c r="G17" s="160"/>
      <c r="H17" s="160"/>
    </row>
    <row r="18" spans="2:8" x14ac:dyDescent="0.25">
      <c r="B18" s="163" t="s">
        <v>215</v>
      </c>
      <c r="C18" s="164">
        <v>844766955</v>
      </c>
      <c r="D18" s="164">
        <f t="shared" ref="D18:H18" si="1">+D41*4.23%</f>
        <v>1089278974.8000002</v>
      </c>
      <c r="E18" s="164">
        <f t="shared" si="1"/>
        <v>1163664751.5</v>
      </c>
      <c r="F18" s="164">
        <f t="shared" si="1"/>
        <v>1248955552.8000002</v>
      </c>
      <c r="G18" s="164">
        <f t="shared" si="1"/>
        <v>1287673123.5000002</v>
      </c>
      <c r="H18" s="164">
        <f t="shared" si="1"/>
        <v>1337892444.9000001</v>
      </c>
    </row>
    <row r="19" spans="2:8" x14ac:dyDescent="0.25">
      <c r="B19" s="163" t="s">
        <v>216</v>
      </c>
      <c r="C19" s="160"/>
      <c r="D19" s="160"/>
      <c r="E19" s="160"/>
      <c r="F19" s="160"/>
      <c r="G19" s="160"/>
      <c r="H19" s="160"/>
    </row>
    <row r="20" spans="2:8" x14ac:dyDescent="0.25">
      <c r="B20" s="163" t="s">
        <v>217</v>
      </c>
      <c r="C20" s="160"/>
      <c r="D20" s="160"/>
      <c r="E20" s="160"/>
      <c r="F20" s="160"/>
      <c r="G20" s="160"/>
      <c r="H20" s="160"/>
    </row>
    <row r="21" spans="2:8" x14ac:dyDescent="0.25">
      <c r="B21" s="165"/>
      <c r="C21" s="160"/>
      <c r="D21" s="160"/>
      <c r="E21" s="160"/>
      <c r="F21" s="160"/>
      <c r="G21" s="160"/>
      <c r="H21" s="160"/>
    </row>
    <row r="22" spans="2:8" ht="22.5" x14ac:dyDescent="0.25">
      <c r="B22" s="161" t="s">
        <v>218</v>
      </c>
      <c r="C22" s="164">
        <f>SUM(C23:C27)</f>
        <v>0</v>
      </c>
      <c r="D22" s="164">
        <f t="shared" ref="D22:H22" si="2">SUM(D23:D27)</f>
        <v>0</v>
      </c>
      <c r="E22" s="164">
        <f t="shared" si="2"/>
        <v>0</v>
      </c>
      <c r="F22" s="164">
        <f t="shared" si="2"/>
        <v>0</v>
      </c>
      <c r="G22" s="164">
        <f t="shared" si="2"/>
        <v>0</v>
      </c>
      <c r="H22" s="164">
        <f t="shared" si="2"/>
        <v>0</v>
      </c>
    </row>
    <row r="23" spans="2:8" x14ac:dyDescent="0.25">
      <c r="B23" s="166" t="s">
        <v>219</v>
      </c>
      <c r="C23" s="160"/>
      <c r="D23" s="160"/>
      <c r="E23" s="160"/>
      <c r="F23" s="160"/>
      <c r="G23" s="160"/>
      <c r="H23" s="160"/>
    </row>
    <row r="24" spans="2:8" x14ac:dyDescent="0.25">
      <c r="B24" s="166" t="s">
        <v>220</v>
      </c>
      <c r="C24" s="160"/>
      <c r="D24" s="160"/>
      <c r="E24" s="160"/>
      <c r="F24" s="160"/>
      <c r="G24" s="160"/>
      <c r="H24" s="160"/>
    </row>
    <row r="25" spans="2:8" x14ac:dyDescent="0.25">
      <c r="B25" s="166" t="s">
        <v>221</v>
      </c>
      <c r="C25" s="160"/>
      <c r="D25" s="160"/>
      <c r="E25" s="160"/>
      <c r="F25" s="160"/>
      <c r="G25" s="160"/>
      <c r="H25" s="160"/>
    </row>
    <row r="26" spans="2:8" ht="22.5" x14ac:dyDescent="0.25">
      <c r="B26" s="166" t="s">
        <v>222</v>
      </c>
      <c r="C26" s="160"/>
      <c r="D26" s="160"/>
      <c r="E26" s="160"/>
      <c r="F26" s="160"/>
      <c r="G26" s="160"/>
      <c r="H26" s="160"/>
    </row>
    <row r="27" spans="2:8" ht="22.5" x14ac:dyDescent="0.25">
      <c r="B27" s="166" t="s">
        <v>223</v>
      </c>
      <c r="C27" s="160"/>
      <c r="D27" s="160"/>
      <c r="E27" s="160"/>
      <c r="F27" s="160"/>
      <c r="G27" s="160"/>
      <c r="H27" s="160"/>
    </row>
    <row r="28" spans="2:8" x14ac:dyDescent="0.25">
      <c r="B28" s="165"/>
      <c r="C28" s="160"/>
      <c r="D28" s="160"/>
      <c r="E28" s="160"/>
      <c r="F28" s="160"/>
      <c r="G28" s="160"/>
      <c r="H28" s="160"/>
    </row>
    <row r="29" spans="2:8" ht="22.5" x14ac:dyDescent="0.25">
      <c r="B29" s="161" t="s">
        <v>224</v>
      </c>
      <c r="C29" s="164">
        <f>+C30</f>
        <v>0</v>
      </c>
      <c r="D29" s="164">
        <f t="shared" ref="D29:H29" si="3">+D30</f>
        <v>0</v>
      </c>
      <c r="E29" s="164">
        <f t="shared" si="3"/>
        <v>0</v>
      </c>
      <c r="F29" s="164">
        <f t="shared" si="3"/>
        <v>0</v>
      </c>
      <c r="G29" s="164">
        <f t="shared" si="3"/>
        <v>0</v>
      </c>
      <c r="H29" s="164">
        <f t="shared" si="3"/>
        <v>0</v>
      </c>
    </row>
    <row r="30" spans="2:8" x14ac:dyDescent="0.25">
      <c r="B30" s="166" t="s">
        <v>225</v>
      </c>
      <c r="C30" s="160"/>
      <c r="D30" s="160"/>
      <c r="E30" s="160"/>
      <c r="F30" s="160"/>
      <c r="G30" s="160"/>
      <c r="H30" s="160"/>
    </row>
    <row r="31" spans="2:8" x14ac:dyDescent="0.25">
      <c r="B31" s="165"/>
      <c r="C31" s="160"/>
      <c r="D31" s="160"/>
      <c r="E31" s="160"/>
      <c r="F31" s="160"/>
      <c r="G31" s="160"/>
      <c r="H31" s="160"/>
    </row>
    <row r="32" spans="2:8" ht="22.5" x14ac:dyDescent="0.25">
      <c r="B32" s="161" t="s">
        <v>226</v>
      </c>
      <c r="C32" s="162">
        <f>+C8+C22+C29</f>
        <v>844766955</v>
      </c>
      <c r="D32" s="162">
        <f t="shared" ref="D32:H32" si="4">+D8+D22+D29</f>
        <v>1089278974.8000002</v>
      </c>
      <c r="E32" s="162">
        <f t="shared" si="4"/>
        <v>1163664751.5</v>
      </c>
      <c r="F32" s="162">
        <f t="shared" si="4"/>
        <v>1248955552.8000002</v>
      </c>
      <c r="G32" s="162">
        <f t="shared" si="4"/>
        <v>1287673123.5000002</v>
      </c>
      <c r="H32" s="162">
        <f t="shared" si="4"/>
        <v>1337892444.9000001</v>
      </c>
    </row>
    <row r="33" spans="1:10" x14ac:dyDescent="0.25">
      <c r="B33" s="165"/>
      <c r="C33" s="160"/>
      <c r="D33" s="160"/>
      <c r="E33" s="160"/>
      <c r="F33" s="160"/>
      <c r="G33" s="160"/>
      <c r="H33" s="160"/>
    </row>
    <row r="34" spans="1:10" x14ac:dyDescent="0.25">
      <c r="B34" s="167" t="s">
        <v>191</v>
      </c>
      <c r="C34" s="160"/>
      <c r="D34" s="160"/>
      <c r="E34" s="160"/>
      <c r="F34" s="160"/>
      <c r="G34" s="160"/>
      <c r="H34" s="160"/>
    </row>
    <row r="35" spans="1:10" ht="22.5" x14ac:dyDescent="0.25">
      <c r="B35" s="168" t="s">
        <v>227</v>
      </c>
      <c r="C35" s="160"/>
      <c r="D35" s="160"/>
      <c r="E35" s="160"/>
      <c r="F35" s="160"/>
      <c r="G35" s="160"/>
      <c r="H35" s="160"/>
    </row>
    <row r="36" spans="1:10" ht="33.75" x14ac:dyDescent="0.25">
      <c r="B36" s="168" t="s">
        <v>228</v>
      </c>
      <c r="C36" s="160"/>
      <c r="D36" s="160"/>
      <c r="E36" s="160"/>
      <c r="F36" s="160"/>
      <c r="G36" s="160"/>
      <c r="H36" s="160"/>
    </row>
    <row r="37" spans="1:10" ht="22.5" x14ac:dyDescent="0.25">
      <c r="B37" s="167" t="s">
        <v>229</v>
      </c>
      <c r="C37" s="162">
        <f>+C35+C36</f>
        <v>0</v>
      </c>
      <c r="D37" s="162">
        <f t="shared" ref="D37:H37" si="5">+D35+D36</f>
        <v>0</v>
      </c>
      <c r="E37" s="162">
        <f t="shared" si="5"/>
        <v>0</v>
      </c>
      <c r="F37" s="162">
        <f t="shared" si="5"/>
        <v>0</v>
      </c>
      <c r="G37" s="162">
        <f t="shared" si="5"/>
        <v>0</v>
      </c>
      <c r="H37" s="162">
        <f t="shared" si="5"/>
        <v>0</v>
      </c>
    </row>
    <row r="38" spans="1:10" ht="15.75" thickBot="1" x14ac:dyDescent="0.3">
      <c r="B38" s="169"/>
      <c r="C38" s="170"/>
      <c r="D38" s="170"/>
      <c r="E38" s="170"/>
      <c r="F38" s="170"/>
      <c r="G38" s="170"/>
      <c r="H38" s="170"/>
    </row>
    <row r="41" spans="1:10" x14ac:dyDescent="0.25">
      <c r="B41" s="171" t="s">
        <v>230</v>
      </c>
      <c r="C41" s="171">
        <v>24653009000</v>
      </c>
      <c r="D41" s="171">
        <v>25751276000</v>
      </c>
      <c r="E41" s="171">
        <v>27509805000</v>
      </c>
      <c r="F41" s="171">
        <v>29526136000</v>
      </c>
      <c r="G41" s="171">
        <v>30441445000</v>
      </c>
      <c r="H41" s="171">
        <v>31628663000</v>
      </c>
    </row>
    <row r="42" spans="1:10" ht="16.5" x14ac:dyDescent="0.3">
      <c r="D42" s="172">
        <f>+D41/C41</f>
        <v>1.0445490041398191</v>
      </c>
      <c r="E42" s="173">
        <f>+E41/D41</f>
        <v>1.0682890043972966</v>
      </c>
      <c r="F42" s="173">
        <f t="shared" ref="F42:H42" si="6">+F41/E41</f>
        <v>1.0732949942756773</v>
      </c>
      <c r="G42" s="173">
        <f t="shared" si="6"/>
        <v>1.0309999588161485</v>
      </c>
      <c r="H42" s="173">
        <f t="shared" si="6"/>
        <v>1.0390000540381708</v>
      </c>
    </row>
    <row r="44" spans="1:10" x14ac:dyDescent="0.25">
      <c r="C44" s="171">
        <f>+C41*0.0423</f>
        <v>1042822280.6999999</v>
      </c>
      <c r="D44" s="171">
        <f>+D41*0.0423</f>
        <v>1089278974.8</v>
      </c>
      <c r="E44" s="171">
        <f t="shared" ref="E44:H44" si="7">+E41*0.0423</f>
        <v>1163664751.5</v>
      </c>
      <c r="F44" s="171">
        <f t="shared" si="7"/>
        <v>1248955552.8</v>
      </c>
      <c r="G44" s="171">
        <f t="shared" si="7"/>
        <v>1287673123.5</v>
      </c>
      <c r="H44" s="171">
        <f t="shared" si="7"/>
        <v>1337892444.8999999</v>
      </c>
    </row>
    <row r="45" spans="1:10" x14ac:dyDescent="0.25">
      <c r="C45" s="171"/>
      <c r="D45" s="171"/>
      <c r="E45" s="171"/>
      <c r="F45" s="171"/>
      <c r="G45" s="171"/>
      <c r="H45" s="171"/>
    </row>
    <row r="46" spans="1:10" x14ac:dyDescent="0.25">
      <c r="A46" s="171">
        <v>1000</v>
      </c>
      <c r="B46" s="174">
        <f>+C46/C$53</f>
        <v>0.64702345275804496</v>
      </c>
      <c r="C46" s="171">
        <v>546584032</v>
      </c>
      <c r="D46" s="171">
        <f>+D$44*$B46</f>
        <v>704789043.29183936</v>
      </c>
      <c r="E46" s="171">
        <f t="shared" ref="E46:H46" si="8">+E$44*$B46</f>
        <v>752918385.36836243</v>
      </c>
      <c r="F46" s="171">
        <f t="shared" si="8"/>
        <v>808103534.11398864</v>
      </c>
      <c r="G46" s="171">
        <f t="shared" si="8"/>
        <v>833154710.39070642</v>
      </c>
      <c r="H46" s="171">
        <f t="shared" si="8"/>
        <v>865647789.11810029</v>
      </c>
    </row>
    <row r="47" spans="1:10" x14ac:dyDescent="0.25">
      <c r="A47" s="171">
        <v>2000</v>
      </c>
      <c r="B47" s="174">
        <f t="shared" ref="B47:B52" si="9">+C47/C$53</f>
        <v>3.8423614711586347E-2</v>
      </c>
      <c r="C47" s="171">
        <v>32459000</v>
      </c>
      <c r="D47" s="171">
        <f t="shared" ref="D47:H52" si="10">+D$44*$B47</f>
        <v>41854035.641146973</v>
      </c>
      <c r="E47" s="171">
        <f t="shared" si="10"/>
        <v>44712206.065089874</v>
      </c>
      <c r="F47" s="171">
        <f t="shared" si="10"/>
        <v>47989386.952683538</v>
      </c>
      <c r="G47" s="171">
        <f t="shared" si="10"/>
        <v>49477055.971828945</v>
      </c>
      <c r="H47" s="171">
        <f t="shared" si="10"/>
        <v>51406663.828379862</v>
      </c>
      <c r="J47" t="s">
        <v>231</v>
      </c>
    </row>
    <row r="48" spans="1:10" x14ac:dyDescent="0.25">
      <c r="A48" s="171">
        <v>3000</v>
      </c>
      <c r="B48" s="174">
        <f t="shared" si="9"/>
        <v>5.7186481684762397E-2</v>
      </c>
      <c r="C48" s="171">
        <v>48309250</v>
      </c>
      <c r="D48" s="171">
        <f t="shared" si="10"/>
        <v>62292032.141996957</v>
      </c>
      <c r="E48" s="171">
        <f t="shared" si="10"/>
        <v>66545892.998858333</v>
      </c>
      <c r="F48" s="171">
        <f t="shared" si="10"/>
        <v>71423373.845279485</v>
      </c>
      <c r="G48" s="171">
        <f t="shared" si="10"/>
        <v>73637495.492993534</v>
      </c>
      <c r="H48" s="171">
        <f t="shared" si="10"/>
        <v>76509361.79645583</v>
      </c>
      <c r="J48" s="175">
        <v>119367015</v>
      </c>
    </row>
    <row r="49" spans="1:10" x14ac:dyDescent="0.25">
      <c r="A49" s="171">
        <v>4000</v>
      </c>
      <c r="B49" s="174">
        <f t="shared" si="9"/>
        <v>0.14130170965316702</v>
      </c>
      <c r="C49" s="171">
        <v>119367015</v>
      </c>
      <c r="D49" s="171">
        <f t="shared" si="10"/>
        <v>153916981.42848903</v>
      </c>
      <c r="E49" s="171">
        <f t="shared" si="10"/>
        <v>164427818.85007775</v>
      </c>
      <c r="F49" s="171">
        <f t="shared" si="10"/>
        <v>176479554.89145631</v>
      </c>
      <c r="G49" s="171">
        <f t="shared" si="10"/>
        <v>181950413.82498369</v>
      </c>
      <c r="H49" s="171">
        <f t="shared" si="10"/>
        <v>189046489.79642552</v>
      </c>
      <c r="J49" s="175">
        <v>68204650</v>
      </c>
    </row>
    <row r="50" spans="1:10" x14ac:dyDescent="0.25">
      <c r="A50" s="171">
        <v>5000</v>
      </c>
      <c r="B50" s="174">
        <f t="shared" si="9"/>
        <v>8.0737829050143178E-2</v>
      </c>
      <c r="C50" s="171">
        <v>68204650</v>
      </c>
      <c r="D50" s="171">
        <f t="shared" si="10"/>
        <v>87946019.655317619</v>
      </c>
      <c r="E50" s="171">
        <f t="shared" si="10"/>
        <v>93951765.778284341</v>
      </c>
      <c r="F50" s="171">
        <f t="shared" si="10"/>
        <v>100837959.91319346</v>
      </c>
      <c r="G50" s="171">
        <f t="shared" si="10"/>
        <v>103963932.5176069</v>
      </c>
      <c r="H50" s="171">
        <f t="shared" si="10"/>
        <v>108018531.50381429</v>
      </c>
      <c r="J50" t="s">
        <v>232</v>
      </c>
    </row>
    <row r="51" spans="1:10" x14ac:dyDescent="0.25">
      <c r="A51" s="171">
        <v>6000</v>
      </c>
      <c r="B51" s="174">
        <f t="shared" si="9"/>
        <v>5.3269129117390727E-3</v>
      </c>
      <c r="C51" s="171">
        <v>4500000</v>
      </c>
      <c r="D51" s="171">
        <f t="shared" si="10"/>
        <v>5802494.2353480197</v>
      </c>
      <c r="E51" s="171">
        <f t="shared" si="10"/>
        <v>6198740.7897009896</v>
      </c>
      <c r="F51" s="171">
        <f t="shared" si="10"/>
        <v>6653077.4603985306</v>
      </c>
      <c r="G51" s="171">
        <f t="shared" si="10"/>
        <v>6859322.5876715314</v>
      </c>
      <c r="H51" s="171">
        <f t="shared" si="10"/>
        <v>7126836.5392559655</v>
      </c>
    </row>
    <row r="52" spans="1:10" x14ac:dyDescent="0.25">
      <c r="A52" s="171">
        <v>9000</v>
      </c>
      <c r="B52" s="174">
        <f t="shared" si="9"/>
        <v>2.9999999230557024E-2</v>
      </c>
      <c r="C52" s="171">
        <v>25343008</v>
      </c>
      <c r="D52" s="171">
        <f t="shared" si="10"/>
        <v>32678368.405861944</v>
      </c>
      <c r="E52" s="171">
        <f t="shared" si="10"/>
        <v>34909941.64962633</v>
      </c>
      <c r="F52" s="171">
        <f t="shared" si="10"/>
        <v>37468665.622999921</v>
      </c>
      <c r="G52" s="171">
        <f t="shared" si="10"/>
        <v>38630192.714208961</v>
      </c>
      <c r="H52" s="171">
        <f t="shared" si="10"/>
        <v>40136772.317568049</v>
      </c>
    </row>
    <row r="53" spans="1:10" x14ac:dyDescent="0.25">
      <c r="C53" s="171">
        <f>SUM(C46:C52)</f>
        <v>844766955</v>
      </c>
      <c r="D53" s="171">
        <f t="shared" ref="D53:H53" si="11">SUM(D46:D52)</f>
        <v>1089278974.8</v>
      </c>
      <c r="E53" s="171">
        <f t="shared" si="11"/>
        <v>1163664751.5</v>
      </c>
      <c r="F53" s="171">
        <f t="shared" si="11"/>
        <v>1248955552.7999997</v>
      </c>
      <c r="G53" s="171">
        <f t="shared" si="11"/>
        <v>1287673123.5</v>
      </c>
      <c r="H53" s="171">
        <f t="shared" si="11"/>
        <v>1337892444.8999996</v>
      </c>
    </row>
  </sheetData>
  <mergeCells count="5">
    <mergeCell ref="B1:H1"/>
    <mergeCell ref="B2:H2"/>
    <mergeCell ref="B3:H3"/>
    <mergeCell ref="B4:H4"/>
    <mergeCell ref="B5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topLeftCell="B1" zoomScale="154" zoomScaleNormal="154" workbookViewId="0">
      <selection activeCell="E17" sqref="E17"/>
    </sheetView>
  </sheetViews>
  <sheetFormatPr baseColWidth="10" defaultRowHeight="15" x14ac:dyDescent="0.25"/>
  <cols>
    <col min="2" max="2" width="37.140625" customWidth="1"/>
    <col min="3" max="3" width="11.42578125" customWidth="1"/>
    <col min="4" max="8" width="11.7109375" customWidth="1"/>
  </cols>
  <sheetData>
    <row r="1" spans="2:8" ht="15.75" thickBot="1" x14ac:dyDescent="0.3"/>
    <row r="2" spans="2:8" x14ac:dyDescent="0.25">
      <c r="B2" s="246" t="s">
        <v>195</v>
      </c>
      <c r="C2" s="247"/>
      <c r="D2" s="247"/>
      <c r="E2" s="247"/>
      <c r="F2" s="247"/>
      <c r="G2" s="247"/>
      <c r="H2" s="247"/>
    </row>
    <row r="3" spans="2:8" x14ac:dyDescent="0.25">
      <c r="B3" s="248" t="s">
        <v>233</v>
      </c>
      <c r="C3" s="249"/>
      <c r="D3" s="249"/>
      <c r="E3" s="249"/>
      <c r="F3" s="249"/>
      <c r="G3" s="249"/>
      <c r="H3" s="249"/>
    </row>
    <row r="4" spans="2:8" x14ac:dyDescent="0.25">
      <c r="B4" s="248" t="s">
        <v>123</v>
      </c>
      <c r="C4" s="249"/>
      <c r="D4" s="249"/>
      <c r="E4" s="249"/>
      <c r="F4" s="249"/>
      <c r="G4" s="249"/>
      <c r="H4" s="249"/>
    </row>
    <row r="5" spans="2:8" ht="15.75" thickBot="1" x14ac:dyDescent="0.3">
      <c r="B5" s="248" t="s">
        <v>234</v>
      </c>
      <c r="C5" s="249"/>
      <c r="D5" s="249"/>
      <c r="E5" s="249"/>
      <c r="F5" s="249"/>
      <c r="G5" s="249"/>
      <c r="H5" s="249"/>
    </row>
    <row r="6" spans="2:8" ht="16.5" x14ac:dyDescent="0.25">
      <c r="B6" s="244" t="s">
        <v>198</v>
      </c>
      <c r="C6" s="155" t="s">
        <v>199</v>
      </c>
      <c r="D6" s="156" t="s">
        <v>200</v>
      </c>
      <c r="E6" s="156" t="s">
        <v>201</v>
      </c>
      <c r="F6" s="156" t="s">
        <v>202</v>
      </c>
      <c r="G6" s="156" t="s">
        <v>203</v>
      </c>
      <c r="H6" s="156" t="s">
        <v>204</v>
      </c>
    </row>
    <row r="7" spans="2:8" ht="15.75" thickBot="1" x14ac:dyDescent="0.3">
      <c r="B7" s="245"/>
      <c r="C7" s="157">
        <v>2019</v>
      </c>
      <c r="D7" s="158">
        <v>2020</v>
      </c>
      <c r="E7" s="158">
        <v>2021</v>
      </c>
      <c r="F7" s="158">
        <v>2022</v>
      </c>
      <c r="G7" s="158">
        <v>2023</v>
      </c>
      <c r="H7" s="158">
        <v>2024</v>
      </c>
    </row>
    <row r="8" spans="2:8" ht="22.5" x14ac:dyDescent="0.25">
      <c r="B8" s="176" t="s">
        <v>235</v>
      </c>
      <c r="C8" s="177">
        <f>SUM(C9:C17)</f>
        <v>844766955</v>
      </c>
      <c r="D8" s="177">
        <f t="shared" ref="D8:H8" si="0">SUM(D9:D17)</f>
        <v>1089278974.8</v>
      </c>
      <c r="E8" s="177">
        <f>SUM(E9:E17)</f>
        <v>1163664751.5</v>
      </c>
      <c r="F8" s="177">
        <f t="shared" si="0"/>
        <v>1248955552.7999997</v>
      </c>
      <c r="G8" s="177">
        <f t="shared" si="0"/>
        <v>1287673123.5</v>
      </c>
      <c r="H8" s="177">
        <f t="shared" si="0"/>
        <v>1337892444.8999996</v>
      </c>
    </row>
    <row r="9" spans="2:8" x14ac:dyDescent="0.25">
      <c r="B9" s="178" t="s">
        <v>236</v>
      </c>
      <c r="C9" s="179">
        <v>546584032</v>
      </c>
      <c r="D9" s="179">
        <v>704789043.29183936</v>
      </c>
      <c r="E9" s="179">
        <v>752918385.36836243</v>
      </c>
      <c r="F9" s="179">
        <v>808103534.11398864</v>
      </c>
      <c r="G9" s="179">
        <v>833154710.39070642</v>
      </c>
      <c r="H9" s="179">
        <v>865647789.11810029</v>
      </c>
    </row>
    <row r="10" spans="2:8" x14ac:dyDescent="0.25">
      <c r="B10" s="178" t="s">
        <v>237</v>
      </c>
      <c r="C10" s="179">
        <v>32459000</v>
      </c>
      <c r="D10" s="179">
        <v>41854035.641146973</v>
      </c>
      <c r="E10" s="179">
        <v>44712206.065089874</v>
      </c>
      <c r="F10" s="179">
        <v>47989386.952683538</v>
      </c>
      <c r="G10" s="179">
        <v>49477055.971828945</v>
      </c>
      <c r="H10" s="179">
        <v>51406663.828379862</v>
      </c>
    </row>
    <row r="11" spans="2:8" x14ac:dyDescent="0.25">
      <c r="B11" s="178" t="s">
        <v>238</v>
      </c>
      <c r="C11" s="179">
        <v>48309250</v>
      </c>
      <c r="D11" s="179">
        <v>62292032.141996957</v>
      </c>
      <c r="E11" s="179">
        <v>66545892.998858333</v>
      </c>
      <c r="F11" s="179">
        <v>71423373.845279485</v>
      </c>
      <c r="G11" s="179">
        <v>73637495.492993534</v>
      </c>
      <c r="H11" s="179">
        <v>76509361.79645583</v>
      </c>
    </row>
    <row r="12" spans="2:8" ht="22.5" x14ac:dyDescent="0.25">
      <c r="B12" s="178" t="s">
        <v>239</v>
      </c>
      <c r="C12" s="179">
        <v>119367015</v>
      </c>
      <c r="D12" s="179">
        <v>153916981.42848903</v>
      </c>
      <c r="E12" s="179">
        <v>164427818.85007775</v>
      </c>
      <c r="F12" s="179">
        <v>176479554.89145631</v>
      </c>
      <c r="G12" s="179">
        <v>181950413.82498369</v>
      </c>
      <c r="H12" s="179">
        <v>189046489.79642552</v>
      </c>
    </row>
    <row r="13" spans="2:8" x14ac:dyDescent="0.25">
      <c r="B13" s="178" t="s">
        <v>240</v>
      </c>
      <c r="C13" s="179">
        <v>68204650</v>
      </c>
      <c r="D13" s="179">
        <v>87946019.655317619</v>
      </c>
      <c r="E13" s="179">
        <v>93951765.778284341</v>
      </c>
      <c r="F13" s="179">
        <v>100837959.91319346</v>
      </c>
      <c r="G13" s="179">
        <v>103963932.5176069</v>
      </c>
      <c r="H13" s="179">
        <v>108018531.50381429</v>
      </c>
    </row>
    <row r="14" spans="2:8" x14ac:dyDescent="0.25">
      <c r="B14" s="178" t="s">
        <v>241</v>
      </c>
      <c r="C14" s="179">
        <v>4500000</v>
      </c>
      <c r="D14" s="179">
        <v>5802494.2353480197</v>
      </c>
      <c r="E14" s="179">
        <v>6198740.7897009896</v>
      </c>
      <c r="F14" s="179">
        <v>6653077.4603985306</v>
      </c>
      <c r="G14" s="179">
        <v>6859322.5876715314</v>
      </c>
      <c r="H14" s="179">
        <v>7126836.5392559655</v>
      </c>
    </row>
    <row r="15" spans="2:8" ht="22.5" x14ac:dyDescent="0.25">
      <c r="B15" s="178" t="s">
        <v>242</v>
      </c>
      <c r="C15" s="179"/>
      <c r="D15" s="180"/>
      <c r="E15" s="180"/>
      <c r="F15" s="180"/>
      <c r="G15" s="180"/>
      <c r="H15" s="180"/>
    </row>
    <row r="16" spans="2:8" x14ac:dyDescent="0.25">
      <c r="B16" s="178" t="s">
        <v>243</v>
      </c>
      <c r="C16" s="179"/>
      <c r="D16" s="180"/>
      <c r="E16" s="180"/>
      <c r="F16" s="180"/>
      <c r="G16" s="180"/>
      <c r="H16" s="180"/>
    </row>
    <row r="17" spans="2:8" x14ac:dyDescent="0.25">
      <c r="B17" s="178" t="s">
        <v>244</v>
      </c>
      <c r="C17" s="179">
        <v>25343008</v>
      </c>
      <c r="D17" s="179">
        <v>32678368.405861944</v>
      </c>
      <c r="E17" s="179">
        <v>34909941.64962633</v>
      </c>
      <c r="F17" s="179">
        <v>37468665.622999921</v>
      </c>
      <c r="G17" s="179">
        <v>38630192.714208961</v>
      </c>
      <c r="H17" s="179">
        <v>40136772.317568049</v>
      </c>
    </row>
    <row r="18" spans="2:8" x14ac:dyDescent="0.25">
      <c r="B18" s="176" t="s">
        <v>245</v>
      </c>
      <c r="C18" s="181">
        <f>SUM(C19:C27)</f>
        <v>0</v>
      </c>
      <c r="D18" s="181">
        <f t="shared" ref="D18:H18" si="1">SUM(D19:D27)</f>
        <v>0</v>
      </c>
      <c r="E18" s="181">
        <f t="shared" si="1"/>
        <v>0</v>
      </c>
      <c r="F18" s="181">
        <f t="shared" si="1"/>
        <v>0</v>
      </c>
      <c r="G18" s="181">
        <f t="shared" si="1"/>
        <v>0</v>
      </c>
      <c r="H18" s="181">
        <f t="shared" si="1"/>
        <v>0</v>
      </c>
    </row>
    <row r="19" spans="2:8" x14ac:dyDescent="0.25">
      <c r="B19" s="178" t="s">
        <v>236</v>
      </c>
      <c r="C19" s="182"/>
      <c r="D19" s="182"/>
      <c r="E19" s="182"/>
      <c r="F19" s="182"/>
      <c r="G19" s="182"/>
      <c r="H19" s="182"/>
    </row>
    <row r="20" spans="2:8" x14ac:dyDescent="0.25">
      <c r="B20" s="178" t="s">
        <v>237</v>
      </c>
      <c r="C20" s="182"/>
      <c r="D20" s="182"/>
      <c r="E20" s="182"/>
      <c r="F20" s="182"/>
      <c r="G20" s="182"/>
      <c r="H20" s="182"/>
    </row>
    <row r="21" spans="2:8" x14ac:dyDescent="0.25">
      <c r="B21" s="178" t="s">
        <v>238</v>
      </c>
      <c r="C21" s="182"/>
      <c r="D21" s="182"/>
      <c r="E21" s="182"/>
      <c r="F21" s="182"/>
      <c r="G21" s="182"/>
      <c r="H21" s="182"/>
    </row>
    <row r="22" spans="2:8" ht="22.5" x14ac:dyDescent="0.25">
      <c r="B22" s="178" t="s">
        <v>239</v>
      </c>
      <c r="C22" s="182"/>
      <c r="D22" s="182"/>
      <c r="E22" s="182"/>
      <c r="F22" s="182"/>
      <c r="G22" s="182"/>
      <c r="H22" s="182"/>
    </row>
    <row r="23" spans="2:8" x14ac:dyDescent="0.25">
      <c r="B23" s="178" t="s">
        <v>240</v>
      </c>
      <c r="C23" s="182"/>
      <c r="D23" s="182"/>
      <c r="E23" s="182"/>
      <c r="F23" s="182"/>
      <c r="G23" s="182"/>
      <c r="H23" s="182"/>
    </row>
    <row r="24" spans="2:8" x14ac:dyDescent="0.25">
      <c r="B24" s="178" t="s">
        <v>241</v>
      </c>
      <c r="C24" s="182"/>
      <c r="D24" s="182"/>
      <c r="E24" s="182"/>
      <c r="F24" s="182"/>
      <c r="G24" s="182"/>
      <c r="H24" s="182"/>
    </row>
    <row r="25" spans="2:8" ht="22.5" x14ac:dyDescent="0.25">
      <c r="B25" s="178" t="s">
        <v>242</v>
      </c>
      <c r="C25" s="182"/>
      <c r="D25" s="182"/>
      <c r="E25" s="182"/>
      <c r="F25" s="182"/>
      <c r="G25" s="182"/>
      <c r="H25" s="182"/>
    </row>
    <row r="26" spans="2:8" x14ac:dyDescent="0.25">
      <c r="B26" s="178" t="s">
        <v>246</v>
      </c>
      <c r="C26" s="182"/>
      <c r="D26" s="182"/>
      <c r="E26" s="182"/>
      <c r="F26" s="182"/>
      <c r="G26" s="182"/>
      <c r="H26" s="182"/>
    </row>
    <row r="27" spans="2:8" x14ac:dyDescent="0.25">
      <c r="B27" s="178" t="s">
        <v>244</v>
      </c>
      <c r="C27" s="182"/>
      <c r="D27" s="182"/>
      <c r="E27" s="182"/>
      <c r="F27" s="182"/>
      <c r="G27" s="182"/>
      <c r="H27" s="182"/>
    </row>
    <row r="28" spans="2:8" x14ac:dyDescent="0.25">
      <c r="B28" s="176" t="s">
        <v>247</v>
      </c>
      <c r="C28" s="181">
        <f>+C8+C18</f>
        <v>844766955</v>
      </c>
      <c r="D28" s="181">
        <f>+D8+D18</f>
        <v>1089278974.8</v>
      </c>
      <c r="E28" s="181">
        <f t="shared" ref="E28:H28" si="2">+E8+E18</f>
        <v>1163664751.5</v>
      </c>
      <c r="F28" s="181">
        <f t="shared" si="2"/>
        <v>1248955552.7999997</v>
      </c>
      <c r="G28" s="181">
        <f t="shared" si="2"/>
        <v>1287673123.5</v>
      </c>
      <c r="H28" s="181">
        <f t="shared" si="2"/>
        <v>1337892444.8999996</v>
      </c>
    </row>
    <row r="29" spans="2:8" ht="15.75" thickBot="1" x14ac:dyDescent="0.3">
      <c r="B29" s="183"/>
      <c r="C29" s="184"/>
      <c r="D29" s="184"/>
      <c r="E29" s="184"/>
      <c r="F29" s="184"/>
      <c r="G29" s="184"/>
      <c r="H29" s="184"/>
    </row>
    <row r="34" spans="2:8" hidden="1" x14ac:dyDescent="0.25">
      <c r="B34" s="171" t="s">
        <v>230</v>
      </c>
      <c r="C34" s="171">
        <v>24653009000</v>
      </c>
      <c r="D34" s="171">
        <v>25751276000</v>
      </c>
      <c r="E34" s="171">
        <v>27509805000</v>
      </c>
      <c r="F34" s="171">
        <v>29526136000</v>
      </c>
      <c r="G34" s="171">
        <v>30441445000</v>
      </c>
      <c r="H34" s="171">
        <v>31628663000</v>
      </c>
    </row>
    <row r="35" spans="2:8" hidden="1" x14ac:dyDescent="0.25">
      <c r="D35" s="185">
        <f>+D34/C34</f>
        <v>1.0445490041398191</v>
      </c>
      <c r="E35" s="185">
        <f t="shared" ref="E35:H35" si="3">+E34/D34</f>
        <v>1.0682890043972966</v>
      </c>
      <c r="F35" s="185">
        <f t="shared" si="3"/>
        <v>1.0732949942756773</v>
      </c>
      <c r="G35" s="185">
        <f t="shared" si="3"/>
        <v>1.0309999588161485</v>
      </c>
      <c r="H35" s="185">
        <f t="shared" si="3"/>
        <v>1.0390000540381708</v>
      </c>
    </row>
    <row r="36" spans="2:8" hidden="1" x14ac:dyDescent="0.25"/>
    <row r="37" spans="2:8" hidden="1" x14ac:dyDescent="0.25">
      <c r="D37" s="171">
        <f>+C34*D35</f>
        <v>25751275999.999996</v>
      </c>
      <c r="E37" s="171">
        <f t="shared" ref="E37:H37" si="4">+D34*E35</f>
        <v>27509804999.999996</v>
      </c>
      <c r="F37" s="171">
        <f t="shared" si="4"/>
        <v>29526136000</v>
      </c>
      <c r="G37" s="171">
        <f t="shared" si="4"/>
        <v>30441445000</v>
      </c>
      <c r="H37" s="171">
        <f t="shared" si="4"/>
        <v>31628663000.000004</v>
      </c>
    </row>
    <row r="38" spans="2:8" hidden="1" x14ac:dyDescent="0.25">
      <c r="D38" s="171">
        <f>+D37*4.23%</f>
        <v>1089278974.8</v>
      </c>
      <c r="E38" s="171">
        <f t="shared" ref="E38:H38" si="5">+E37*4.23%</f>
        <v>1163664751.5</v>
      </c>
      <c r="F38" s="171">
        <f t="shared" si="5"/>
        <v>1248955552.8000002</v>
      </c>
      <c r="G38" s="171">
        <f t="shared" si="5"/>
        <v>1287673123.5000002</v>
      </c>
      <c r="H38" s="171">
        <f t="shared" si="5"/>
        <v>1337892444.9000003</v>
      </c>
    </row>
    <row r="39" spans="2:8" hidden="1" x14ac:dyDescent="0.25"/>
    <row r="40" spans="2:8" hidden="1" x14ac:dyDescent="0.25">
      <c r="D40" s="186">
        <f>+D38-D8</f>
        <v>0</v>
      </c>
      <c r="E40" s="171">
        <f t="shared" ref="E40:H40" si="6">+E38-E8</f>
        <v>0</v>
      </c>
      <c r="F40" s="171">
        <f t="shared" si="6"/>
        <v>0</v>
      </c>
      <c r="G40" s="171">
        <f t="shared" si="6"/>
        <v>0</v>
      </c>
      <c r="H40" s="171">
        <f t="shared" si="6"/>
        <v>0</v>
      </c>
    </row>
  </sheetData>
  <mergeCells count="5">
    <mergeCell ref="B2:H2"/>
    <mergeCell ref="B3:H3"/>
    <mergeCell ref="B4:H4"/>
    <mergeCell ref="B5:H5"/>
    <mergeCell ref="B6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0" workbookViewId="0">
      <selection activeCell="G32" sqref="G32"/>
    </sheetView>
  </sheetViews>
  <sheetFormatPr baseColWidth="10" defaultRowHeight="15" x14ac:dyDescent="0.25"/>
  <cols>
    <col min="1" max="1" width="88.140625" customWidth="1"/>
    <col min="2" max="7" width="12.7109375" customWidth="1"/>
  </cols>
  <sheetData>
    <row r="1" spans="1:7" ht="21.75" thickBot="1" x14ac:dyDescent="0.3">
      <c r="A1" s="255" t="s">
        <v>273</v>
      </c>
      <c r="B1" s="255"/>
      <c r="C1" s="255"/>
      <c r="D1" s="255"/>
      <c r="E1" s="255"/>
      <c r="F1" s="255"/>
      <c r="G1" s="255"/>
    </row>
    <row r="2" spans="1:7" x14ac:dyDescent="0.25">
      <c r="A2" s="246" t="s">
        <v>272</v>
      </c>
      <c r="B2" s="247"/>
      <c r="C2" s="247"/>
      <c r="D2" s="247"/>
      <c r="E2" s="247"/>
      <c r="F2" s="247"/>
      <c r="G2" s="251"/>
    </row>
    <row r="3" spans="1:7" x14ac:dyDescent="0.25">
      <c r="A3" s="248" t="s">
        <v>271</v>
      </c>
      <c r="B3" s="249"/>
      <c r="C3" s="249"/>
      <c r="D3" s="249"/>
      <c r="E3" s="249"/>
      <c r="F3" s="249"/>
      <c r="G3" s="252"/>
    </row>
    <row r="4" spans="1:7" ht="15.75" thickBot="1" x14ac:dyDescent="0.3">
      <c r="A4" s="253" t="s">
        <v>123</v>
      </c>
      <c r="B4" s="249"/>
      <c r="C4" s="254"/>
      <c r="D4" s="254"/>
      <c r="E4" s="254"/>
      <c r="F4" s="254"/>
      <c r="G4" s="252"/>
    </row>
    <row r="5" spans="1:7" ht="17.25" x14ac:dyDescent="0.25">
      <c r="A5" s="246" t="s">
        <v>126</v>
      </c>
      <c r="B5" s="206" t="s">
        <v>274</v>
      </c>
      <c r="C5" s="206" t="s">
        <v>275</v>
      </c>
      <c r="D5" s="206" t="s">
        <v>276</v>
      </c>
      <c r="E5" s="206" t="s">
        <v>277</v>
      </c>
      <c r="F5" s="206" t="s">
        <v>278</v>
      </c>
      <c r="G5" s="208" t="s">
        <v>279</v>
      </c>
    </row>
    <row r="6" spans="1:7" ht="15.75" thickBot="1" x14ac:dyDescent="0.3">
      <c r="A6" s="253"/>
      <c r="B6" s="207">
        <v>2013</v>
      </c>
      <c r="C6" s="207">
        <v>2014</v>
      </c>
      <c r="D6" s="207">
        <v>2015</v>
      </c>
      <c r="E6" s="207">
        <v>2016</v>
      </c>
      <c r="F6" s="207">
        <v>2017</v>
      </c>
      <c r="G6" s="209">
        <v>2018</v>
      </c>
    </row>
    <row r="7" spans="1:7" x14ac:dyDescent="0.25">
      <c r="A7" s="159"/>
      <c r="B7" s="190"/>
      <c r="C7" s="190"/>
      <c r="D7" s="190"/>
      <c r="E7" s="190"/>
      <c r="F7" s="190"/>
      <c r="G7" s="190"/>
    </row>
    <row r="8" spans="1:7" x14ac:dyDescent="0.25">
      <c r="A8" s="193" t="s">
        <v>270</v>
      </c>
      <c r="B8" s="189">
        <f t="shared" ref="B8:G8" si="0">SUM(B9:B20)</f>
        <v>530887837</v>
      </c>
      <c r="C8" s="189">
        <f t="shared" si="0"/>
        <v>535007582</v>
      </c>
      <c r="D8" s="189">
        <f t="shared" si="0"/>
        <v>528378679</v>
      </c>
      <c r="E8" s="189">
        <f t="shared" si="0"/>
        <v>541898188</v>
      </c>
      <c r="F8" s="189">
        <f t="shared" si="0"/>
        <v>573789917</v>
      </c>
      <c r="G8" s="189">
        <f t="shared" si="0"/>
        <v>597000000</v>
      </c>
    </row>
    <row r="9" spans="1:7" x14ac:dyDescent="0.25">
      <c r="A9" s="194" t="s">
        <v>269</v>
      </c>
      <c r="B9" s="189">
        <v>0</v>
      </c>
      <c r="C9" s="189">
        <v>0</v>
      </c>
      <c r="D9" s="189">
        <v>0</v>
      </c>
      <c r="E9" s="189">
        <v>0</v>
      </c>
      <c r="F9" s="189">
        <v>0</v>
      </c>
      <c r="G9" s="189">
        <v>0</v>
      </c>
    </row>
    <row r="10" spans="1:7" x14ac:dyDescent="0.25">
      <c r="A10" s="194" t="s">
        <v>268</v>
      </c>
      <c r="B10" s="189">
        <v>0</v>
      </c>
      <c r="C10" s="189">
        <v>0</v>
      </c>
      <c r="D10" s="189">
        <v>0</v>
      </c>
      <c r="E10" s="189">
        <v>0</v>
      </c>
      <c r="F10" s="189">
        <v>0</v>
      </c>
      <c r="G10" s="189">
        <v>0</v>
      </c>
    </row>
    <row r="11" spans="1:7" x14ac:dyDescent="0.25">
      <c r="A11" s="194" t="s">
        <v>267</v>
      </c>
      <c r="B11" s="189">
        <v>0</v>
      </c>
      <c r="C11" s="189">
        <v>0</v>
      </c>
      <c r="D11" s="189">
        <v>0</v>
      </c>
      <c r="E11" s="189">
        <v>0</v>
      </c>
      <c r="F11" s="189">
        <v>0</v>
      </c>
      <c r="G11" s="189">
        <v>0</v>
      </c>
    </row>
    <row r="12" spans="1:7" x14ac:dyDescent="0.25">
      <c r="A12" s="194" t="s">
        <v>266</v>
      </c>
      <c r="B12" s="189">
        <v>0</v>
      </c>
      <c r="C12" s="189">
        <v>0</v>
      </c>
      <c r="D12" s="189">
        <v>0</v>
      </c>
      <c r="E12" s="189">
        <v>0</v>
      </c>
      <c r="F12" s="189">
        <v>0</v>
      </c>
      <c r="G12" s="189">
        <v>0</v>
      </c>
    </row>
    <row r="13" spans="1:7" x14ac:dyDescent="0.25">
      <c r="A13" s="194" t="s">
        <v>265</v>
      </c>
      <c r="B13" s="189">
        <v>0</v>
      </c>
      <c r="C13" s="189">
        <v>0</v>
      </c>
      <c r="D13" s="189">
        <v>0</v>
      </c>
      <c r="E13" s="189">
        <v>0</v>
      </c>
      <c r="F13" s="189"/>
      <c r="G13" s="189"/>
    </row>
    <row r="14" spans="1:7" x14ac:dyDescent="0.25">
      <c r="A14" s="194" t="s">
        <v>264</v>
      </c>
      <c r="B14" s="189">
        <v>0</v>
      </c>
      <c r="C14" s="189">
        <v>0</v>
      </c>
      <c r="D14" s="189">
        <v>0</v>
      </c>
      <c r="E14" s="189">
        <v>0</v>
      </c>
      <c r="F14" s="189"/>
      <c r="G14" s="189"/>
    </row>
    <row r="15" spans="1:7" x14ac:dyDescent="0.25">
      <c r="A15" s="194" t="s">
        <v>263</v>
      </c>
      <c r="B15" s="189">
        <f>ROUND(3011489.9+2616372.52,0)</f>
        <v>5627862</v>
      </c>
      <c r="C15" s="189">
        <f>ROUND(2790590.07+2800547.66,0)</f>
        <v>5591138</v>
      </c>
      <c r="D15" s="189">
        <f>ROUND(2047862.12+3795816.97,0)</f>
        <v>5843679</v>
      </c>
      <c r="E15" s="189">
        <f>ROUND(2612586.58+2639058.1,0)</f>
        <v>5251645</v>
      </c>
      <c r="F15" s="189">
        <f>ROUND(4121926.05+2391992.61,0)</f>
        <v>6513919</v>
      </c>
      <c r="G15" s="189">
        <v>7000000</v>
      </c>
    </row>
    <row r="16" spans="1:7" x14ac:dyDescent="0.25">
      <c r="A16" s="194" t="s">
        <v>262</v>
      </c>
      <c r="B16" s="190"/>
      <c r="C16" s="189">
        <v>0</v>
      </c>
      <c r="D16" s="189">
        <v>0</v>
      </c>
      <c r="E16" s="189">
        <v>0</v>
      </c>
      <c r="F16" s="189">
        <v>0</v>
      </c>
      <c r="G16" s="189">
        <v>0</v>
      </c>
    </row>
    <row r="17" spans="1:7" x14ac:dyDescent="0.25">
      <c r="A17" s="194" t="s">
        <v>261</v>
      </c>
      <c r="B17" s="190"/>
      <c r="C17" s="189">
        <v>0</v>
      </c>
      <c r="D17" s="189">
        <v>0</v>
      </c>
      <c r="E17" s="189">
        <v>0</v>
      </c>
      <c r="F17" s="189">
        <v>0</v>
      </c>
      <c r="G17" s="189">
        <v>0</v>
      </c>
    </row>
    <row r="18" spans="1:7" x14ac:dyDescent="0.25">
      <c r="A18" s="194" t="s">
        <v>260</v>
      </c>
      <c r="B18" s="189">
        <v>522535000</v>
      </c>
      <c r="C18" s="189">
        <v>522368000</v>
      </c>
      <c r="D18" s="189">
        <v>519535000</v>
      </c>
      <c r="E18" s="189">
        <v>536646543</v>
      </c>
      <c r="F18" s="189">
        <v>567275998</v>
      </c>
      <c r="G18" s="189">
        <v>590000000</v>
      </c>
    </row>
    <row r="19" spans="1:7" x14ac:dyDescent="0.25">
      <c r="A19" s="194" t="s">
        <v>259</v>
      </c>
      <c r="B19" s="190"/>
      <c r="C19" s="189">
        <v>1708286</v>
      </c>
      <c r="D19" s="189"/>
      <c r="E19" s="189">
        <v>0</v>
      </c>
      <c r="F19" s="189">
        <v>0</v>
      </c>
      <c r="G19" s="189">
        <v>0</v>
      </c>
    </row>
    <row r="20" spans="1:7" x14ac:dyDescent="0.25">
      <c r="A20" s="194" t="s">
        <v>258</v>
      </c>
      <c r="B20" s="189">
        <f>ROUND(2724974.92,0)</f>
        <v>2724975</v>
      </c>
      <c r="C20" s="189">
        <f>ROUND(5340158.01,0)</f>
        <v>5340158</v>
      </c>
      <c r="D20" s="189">
        <v>3000000</v>
      </c>
      <c r="E20" s="189"/>
      <c r="F20" s="189">
        <v>0</v>
      </c>
      <c r="G20" s="189">
        <v>0</v>
      </c>
    </row>
    <row r="21" spans="1:7" x14ac:dyDescent="0.25">
      <c r="A21" s="192"/>
      <c r="B21" s="190"/>
      <c r="C21" s="189"/>
      <c r="D21" s="189"/>
      <c r="E21" s="189"/>
      <c r="F21" s="189"/>
      <c r="G21" s="189"/>
    </row>
    <row r="22" spans="1:7" x14ac:dyDescent="0.25">
      <c r="A22" s="193" t="s">
        <v>257</v>
      </c>
      <c r="B22" s="189">
        <f t="shared" ref="B22:G22" si="1">SUM(B23:B27)</f>
        <v>2550367</v>
      </c>
      <c r="C22" s="189">
        <f t="shared" si="1"/>
        <v>7243422</v>
      </c>
      <c r="D22" s="189">
        <f t="shared" si="1"/>
        <v>8207819</v>
      </c>
      <c r="E22" s="189">
        <f t="shared" si="1"/>
        <v>1713284.33</v>
      </c>
      <c r="F22" s="189">
        <f t="shared" si="1"/>
        <v>0</v>
      </c>
      <c r="G22" s="189">
        <f t="shared" si="1"/>
        <v>0</v>
      </c>
    </row>
    <row r="23" spans="1:7" x14ac:dyDescent="0.25">
      <c r="A23" s="194" t="s">
        <v>256</v>
      </c>
      <c r="B23" s="190"/>
      <c r="C23" s="189">
        <v>0</v>
      </c>
      <c r="D23" s="189">
        <v>0</v>
      </c>
      <c r="E23" s="189">
        <v>0</v>
      </c>
      <c r="F23" s="189">
        <v>0</v>
      </c>
      <c r="G23" s="189">
        <v>0</v>
      </c>
    </row>
    <row r="24" spans="1:7" x14ac:dyDescent="0.25">
      <c r="A24" s="194" t="s">
        <v>255</v>
      </c>
      <c r="B24" s="190"/>
      <c r="C24" s="189">
        <v>3986000</v>
      </c>
      <c r="D24" s="189">
        <v>1499960</v>
      </c>
      <c r="E24" s="189"/>
      <c r="F24" s="189">
        <v>0</v>
      </c>
      <c r="G24" s="189">
        <v>0</v>
      </c>
    </row>
    <row r="25" spans="1:7" x14ac:dyDescent="0.25">
      <c r="A25" s="194" t="s">
        <v>254</v>
      </c>
      <c r="B25" s="190"/>
      <c r="C25" s="189">
        <v>0</v>
      </c>
      <c r="D25" s="189">
        <v>0</v>
      </c>
      <c r="E25" s="189">
        <v>0</v>
      </c>
      <c r="F25" s="189">
        <v>0</v>
      </c>
      <c r="G25" s="189">
        <v>0</v>
      </c>
    </row>
    <row r="26" spans="1:7" x14ac:dyDescent="0.25">
      <c r="A26" s="194" t="s">
        <v>253</v>
      </c>
      <c r="B26" s="189">
        <f>ROUND(2550366.51,0)</f>
        <v>2550367</v>
      </c>
      <c r="C26" s="189">
        <f>ROUND(3257422.47,0)</f>
        <v>3257422</v>
      </c>
      <c r="D26" s="189">
        <f>ROUND(6707858.82,0)</f>
        <v>6707859</v>
      </c>
      <c r="E26" s="189">
        <v>1713284.33</v>
      </c>
      <c r="F26" s="189">
        <v>0</v>
      </c>
      <c r="G26" s="189">
        <v>0</v>
      </c>
    </row>
    <row r="27" spans="1:7" x14ac:dyDescent="0.25">
      <c r="A27" s="194" t="s">
        <v>252</v>
      </c>
      <c r="B27" s="190"/>
      <c r="C27" s="189">
        <v>0</v>
      </c>
      <c r="D27" s="189">
        <v>0</v>
      </c>
      <c r="E27" s="189">
        <v>0</v>
      </c>
      <c r="F27" s="189">
        <v>0</v>
      </c>
      <c r="G27" s="189">
        <v>0</v>
      </c>
    </row>
    <row r="28" spans="1:7" x14ac:dyDescent="0.25">
      <c r="A28" s="192"/>
      <c r="B28" s="190"/>
      <c r="C28" s="189"/>
      <c r="D28" s="189"/>
      <c r="E28" s="189"/>
      <c r="F28" s="189"/>
      <c r="G28" s="189"/>
    </row>
    <row r="29" spans="1:7" x14ac:dyDescent="0.25">
      <c r="A29" s="193" t="s">
        <v>251</v>
      </c>
      <c r="B29" s="190"/>
      <c r="C29" s="189">
        <f>C30</f>
        <v>0</v>
      </c>
      <c r="D29" s="189">
        <f>D30</f>
        <v>0</v>
      </c>
      <c r="E29" s="189">
        <f>E30</f>
        <v>0</v>
      </c>
      <c r="F29" s="189">
        <f>F30</f>
        <v>0</v>
      </c>
      <c r="G29" s="189">
        <f>G30</f>
        <v>0</v>
      </c>
    </row>
    <row r="30" spans="1:7" x14ac:dyDescent="0.25">
      <c r="A30" s="192" t="s">
        <v>189</v>
      </c>
      <c r="B30" s="190"/>
      <c r="C30" s="189">
        <v>0</v>
      </c>
      <c r="D30" s="189">
        <v>0</v>
      </c>
      <c r="E30" s="189">
        <v>0</v>
      </c>
      <c r="F30" s="189">
        <v>0</v>
      </c>
      <c r="G30" s="189">
        <v>0</v>
      </c>
    </row>
    <row r="31" spans="1:7" x14ac:dyDescent="0.25">
      <c r="A31" s="192"/>
      <c r="B31" s="190"/>
      <c r="C31" s="189"/>
      <c r="D31" s="189"/>
      <c r="E31" s="189"/>
      <c r="F31" s="189"/>
      <c r="G31" s="189"/>
    </row>
    <row r="32" spans="1:7" x14ac:dyDescent="0.25">
      <c r="A32" s="193" t="s">
        <v>250</v>
      </c>
      <c r="B32" s="189">
        <f t="shared" ref="B32:G32" si="2">B8+B22+B29</f>
        <v>533438204</v>
      </c>
      <c r="C32" s="189">
        <f t="shared" si="2"/>
        <v>542251004</v>
      </c>
      <c r="D32" s="189">
        <f t="shared" si="2"/>
        <v>536586498</v>
      </c>
      <c r="E32" s="189">
        <f t="shared" si="2"/>
        <v>543611472.33000004</v>
      </c>
      <c r="F32" s="189">
        <f t="shared" si="2"/>
        <v>573789917</v>
      </c>
      <c r="G32" s="189">
        <f t="shared" si="2"/>
        <v>597000000</v>
      </c>
    </row>
    <row r="33" spans="1:7" x14ac:dyDescent="0.25">
      <c r="A33" s="192"/>
      <c r="B33" s="190"/>
      <c r="C33" s="189"/>
      <c r="D33" s="189"/>
      <c r="E33" s="189"/>
      <c r="F33" s="189"/>
      <c r="G33" s="189"/>
    </row>
    <row r="34" spans="1:7" x14ac:dyDescent="0.25">
      <c r="A34" s="191" t="s">
        <v>191</v>
      </c>
      <c r="B34" s="190"/>
      <c r="C34" s="189"/>
      <c r="D34" s="189"/>
      <c r="E34" s="189"/>
      <c r="F34" s="189"/>
      <c r="G34" s="189"/>
    </row>
    <row r="35" spans="1:7" x14ac:dyDescent="0.25">
      <c r="A35" s="192" t="s">
        <v>227</v>
      </c>
      <c r="B35" s="190"/>
      <c r="C35" s="189">
        <v>0</v>
      </c>
      <c r="D35" s="189">
        <v>0</v>
      </c>
      <c r="E35" s="189">
        <v>0</v>
      </c>
      <c r="F35" s="189">
        <v>0</v>
      </c>
      <c r="G35" s="189">
        <v>0</v>
      </c>
    </row>
    <row r="36" spans="1:7" x14ac:dyDescent="0.25">
      <c r="A36" s="192" t="s">
        <v>228</v>
      </c>
      <c r="B36" s="190"/>
      <c r="C36" s="189">
        <v>0</v>
      </c>
      <c r="D36" s="189">
        <v>0</v>
      </c>
      <c r="E36" s="189">
        <v>0</v>
      </c>
      <c r="F36" s="189">
        <v>0</v>
      </c>
      <c r="G36" s="189">
        <v>0</v>
      </c>
    </row>
    <row r="37" spans="1:7" x14ac:dyDescent="0.25">
      <c r="A37" s="191" t="s">
        <v>229</v>
      </c>
      <c r="B37" s="190"/>
      <c r="C37" s="189">
        <f>C35+C36</f>
        <v>0</v>
      </c>
      <c r="D37" s="189">
        <f>D35+D36</f>
        <v>0</v>
      </c>
      <c r="E37" s="189">
        <f>E35+E36</f>
        <v>0</v>
      </c>
      <c r="F37" s="189">
        <f>F35+F36</f>
        <v>0</v>
      </c>
      <c r="G37" s="189">
        <f>G35+G36</f>
        <v>0</v>
      </c>
    </row>
    <row r="38" spans="1:7" ht="15.75" thickBot="1" x14ac:dyDescent="0.3">
      <c r="A38" s="188"/>
      <c r="B38" s="187"/>
      <c r="C38" s="187"/>
      <c r="D38" s="187"/>
      <c r="E38" s="187"/>
      <c r="F38" s="187"/>
      <c r="G38" s="187"/>
    </row>
    <row r="40" spans="1:7" x14ac:dyDescent="0.25">
      <c r="A40" s="250" t="s">
        <v>249</v>
      </c>
      <c r="B40" s="250"/>
      <c r="C40" s="250"/>
      <c r="D40" s="250"/>
      <c r="E40" s="250"/>
      <c r="F40" s="250"/>
      <c r="G40" s="250"/>
    </row>
    <row r="41" spans="1:7" x14ac:dyDescent="0.25">
      <c r="A41" s="250" t="s">
        <v>248</v>
      </c>
      <c r="B41" s="250"/>
      <c r="C41" s="250"/>
      <c r="D41" s="250"/>
      <c r="E41" s="250"/>
      <c r="F41" s="250"/>
      <c r="G41" s="250"/>
    </row>
    <row r="43" spans="1:7" x14ac:dyDescent="0.25">
      <c r="C43" s="195"/>
    </row>
  </sheetData>
  <mergeCells count="7">
    <mergeCell ref="A41:G41"/>
    <mergeCell ref="A2:G2"/>
    <mergeCell ref="A3:G3"/>
    <mergeCell ref="A4:G4"/>
    <mergeCell ref="A1:G1"/>
    <mergeCell ref="A40:G40"/>
    <mergeCell ref="A5:A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H21" sqref="H21"/>
    </sheetView>
  </sheetViews>
  <sheetFormatPr baseColWidth="10" defaultRowHeight="15" x14ac:dyDescent="0.25"/>
  <cols>
    <col min="1" max="1" width="69.42578125" customWidth="1"/>
    <col min="2" max="7" width="12.7109375" customWidth="1"/>
  </cols>
  <sheetData>
    <row r="1" spans="1:7" ht="21.75" thickBot="1" x14ac:dyDescent="0.3">
      <c r="A1" s="255" t="s">
        <v>280</v>
      </c>
      <c r="B1" s="255"/>
      <c r="C1" s="255"/>
      <c r="D1" s="255"/>
      <c r="E1" s="255"/>
      <c r="F1" s="255"/>
      <c r="G1" s="255"/>
    </row>
    <row r="2" spans="1:7" x14ac:dyDescent="0.25">
      <c r="A2" s="246" t="s">
        <v>272</v>
      </c>
      <c r="B2" s="247"/>
      <c r="C2" s="247"/>
      <c r="D2" s="247"/>
      <c r="E2" s="247"/>
      <c r="F2" s="247"/>
      <c r="G2" s="251"/>
    </row>
    <row r="3" spans="1:7" x14ac:dyDescent="0.25">
      <c r="A3" s="248" t="s">
        <v>281</v>
      </c>
      <c r="B3" s="249"/>
      <c r="C3" s="249"/>
      <c r="D3" s="249"/>
      <c r="E3" s="249"/>
      <c r="F3" s="249"/>
      <c r="G3" s="252"/>
    </row>
    <row r="4" spans="1:7" ht="15.75" thickBot="1" x14ac:dyDescent="0.3">
      <c r="A4" s="253" t="s">
        <v>123</v>
      </c>
      <c r="B4" s="254"/>
      <c r="C4" s="254"/>
      <c r="D4" s="254"/>
      <c r="E4" s="254"/>
      <c r="F4" s="254"/>
      <c r="G4" s="257"/>
    </row>
    <row r="5" spans="1:7" ht="17.25" x14ac:dyDescent="0.25">
      <c r="A5" s="246" t="s">
        <v>126</v>
      </c>
      <c r="B5" s="206" t="s">
        <v>274</v>
      </c>
      <c r="C5" s="206" t="s">
        <v>275</v>
      </c>
      <c r="D5" s="206" t="s">
        <v>276</v>
      </c>
      <c r="E5" s="206" t="s">
        <v>277</v>
      </c>
      <c r="F5" s="206" t="s">
        <v>278</v>
      </c>
      <c r="G5" s="208" t="s">
        <v>279</v>
      </c>
    </row>
    <row r="6" spans="1:7" ht="15.75" thickBot="1" x14ac:dyDescent="0.3">
      <c r="A6" s="253"/>
      <c r="B6" s="207">
        <v>2013</v>
      </c>
      <c r="C6" s="207">
        <v>2014</v>
      </c>
      <c r="D6" s="207">
        <v>2015</v>
      </c>
      <c r="E6" s="207">
        <v>2016</v>
      </c>
      <c r="F6" s="207">
        <v>2017</v>
      </c>
      <c r="G6" s="209">
        <v>2018</v>
      </c>
    </row>
    <row r="7" spans="1:7" x14ac:dyDescent="0.25">
      <c r="A7" s="196" t="s">
        <v>235</v>
      </c>
      <c r="B7" s="198">
        <f>SUM(B8:B16)</f>
        <v>530179137</v>
      </c>
      <c r="C7" s="198">
        <f>SUM(C8:C16)</f>
        <v>523084982</v>
      </c>
      <c r="D7" s="198">
        <f>SUM(D8:D16)</f>
        <v>545858004</v>
      </c>
      <c r="E7" s="198">
        <f>SUM(E8:E16)</f>
        <v>543378674</v>
      </c>
      <c r="F7" s="198">
        <f>SUM(F8:F16)</f>
        <v>573789916</v>
      </c>
      <c r="G7" s="198">
        <f t="shared" ref="G7" si="0">SUM(G8:G16)</f>
        <v>597000000</v>
      </c>
    </row>
    <row r="8" spans="1:7" x14ac:dyDescent="0.25">
      <c r="A8" s="199" t="s">
        <v>236</v>
      </c>
      <c r="B8" s="200">
        <f>ROUND(373867633.48,0)</f>
        <v>373867633</v>
      </c>
      <c r="C8" s="200">
        <f>ROUND(404880884.08,0)</f>
        <v>404880884</v>
      </c>
      <c r="D8" s="200">
        <f>ROUND(437273462.99,0)</f>
        <v>437273463</v>
      </c>
      <c r="E8" s="200">
        <f>ROUND(425251958.4,0)</f>
        <v>425251958</v>
      </c>
      <c r="F8" s="200">
        <f>ROUND(435444945.99,0)</f>
        <v>435444946</v>
      </c>
      <c r="G8" s="200">
        <v>439000000</v>
      </c>
    </row>
    <row r="9" spans="1:7" x14ac:dyDescent="0.25">
      <c r="A9" s="199" t="s">
        <v>237</v>
      </c>
      <c r="B9" s="200">
        <f>ROUND(16127044.58,0)</f>
        <v>16127045</v>
      </c>
      <c r="C9" s="200">
        <f>ROUND(9239939.97,0)</f>
        <v>9239940</v>
      </c>
      <c r="D9" s="200">
        <f>ROUND(10588878.39,0)</f>
        <v>10588878</v>
      </c>
      <c r="E9" s="200">
        <f>ROUND(9255395.5,0)</f>
        <v>9255396</v>
      </c>
      <c r="F9" s="200">
        <f>ROUND(12966690.07,0)</f>
        <v>12966690</v>
      </c>
      <c r="G9" s="200">
        <v>14000000</v>
      </c>
    </row>
    <row r="10" spans="1:7" x14ac:dyDescent="0.25">
      <c r="A10" s="199" t="s">
        <v>238</v>
      </c>
      <c r="B10" s="200">
        <f>ROUND(31185489.56-0.07,0)</f>
        <v>31185489</v>
      </c>
      <c r="C10" s="200">
        <f>ROUND(30129419.21,0)</f>
        <v>30129419</v>
      </c>
      <c r="D10" s="200">
        <f>ROUND(23469389.42,0)</f>
        <v>23469389</v>
      </c>
      <c r="E10" s="200">
        <f>ROUND(22632308.3,0)</f>
        <v>22632308</v>
      </c>
      <c r="F10" s="200">
        <f>ROUND(38216626.27,0)</f>
        <v>38216626</v>
      </c>
      <c r="G10" s="200">
        <v>36000000</v>
      </c>
    </row>
    <row r="11" spans="1:7" x14ac:dyDescent="0.25">
      <c r="A11" s="199" t="s">
        <v>239</v>
      </c>
      <c r="B11" s="200">
        <f>ROUND(58441505.6,0)</f>
        <v>58441506</v>
      </c>
      <c r="C11" s="200">
        <f>ROUND(62650522.72,0)</f>
        <v>62650523</v>
      </c>
      <c r="D11" s="200">
        <f>ROUND(71525256.26,0)</f>
        <v>71525256</v>
      </c>
      <c r="E11" s="200">
        <f>ROUND(83426537.3,0)</f>
        <v>83426537</v>
      </c>
      <c r="F11" s="200">
        <f>ROUND(85299741.38,0)</f>
        <v>85299741</v>
      </c>
      <c r="G11" s="200">
        <v>107000000</v>
      </c>
    </row>
    <row r="12" spans="1:7" x14ac:dyDescent="0.25">
      <c r="A12" s="199" t="s">
        <v>240</v>
      </c>
      <c r="B12" s="200">
        <f>ROUND(43941614.77,0)</f>
        <v>43941615</v>
      </c>
      <c r="C12" s="200">
        <f>ROUND(12955905.8,0)</f>
        <v>12955906</v>
      </c>
      <c r="D12" s="200">
        <f>ROUND(720696.84,0)</f>
        <v>720697</v>
      </c>
      <c r="E12" s="200">
        <f>ROUND(2812475.3,0)</f>
        <v>2812475</v>
      </c>
      <c r="F12" s="200">
        <f>ROUND(1861912.95,0)</f>
        <v>1861913</v>
      </c>
      <c r="G12" s="200">
        <v>1000000</v>
      </c>
    </row>
    <row r="13" spans="1:7" x14ac:dyDescent="0.25">
      <c r="A13" s="199" t="s">
        <v>241</v>
      </c>
      <c r="B13" s="200">
        <f>ROUND(6615848.7,0)</f>
        <v>6615849</v>
      </c>
      <c r="C13" s="200">
        <f>ROUND(3228310.3,0)</f>
        <v>3228310</v>
      </c>
      <c r="D13" s="200">
        <f>ROUND(2280320.76,0)</f>
        <v>2280321</v>
      </c>
      <c r="E13" s="200">
        <v>0</v>
      </c>
      <c r="F13" s="200">
        <v>0</v>
      </c>
      <c r="G13" s="200">
        <v>0</v>
      </c>
    </row>
    <row r="14" spans="1:7" x14ac:dyDescent="0.25">
      <c r="A14" s="199" t="s">
        <v>242</v>
      </c>
      <c r="B14" s="200">
        <v>0</v>
      </c>
      <c r="C14" s="200">
        <v>0</v>
      </c>
      <c r="D14" s="200">
        <v>0</v>
      </c>
      <c r="E14" s="200">
        <v>0</v>
      </c>
      <c r="F14" s="200">
        <v>0</v>
      </c>
      <c r="G14" s="200">
        <v>0</v>
      </c>
    </row>
    <row r="15" spans="1:7" x14ac:dyDescent="0.25">
      <c r="A15" s="199" t="s">
        <v>243</v>
      </c>
      <c r="B15" s="200">
        <v>0</v>
      </c>
      <c r="C15" s="200">
        <v>0</v>
      </c>
      <c r="D15" s="200">
        <v>0</v>
      </c>
      <c r="E15" s="200">
        <v>0</v>
      </c>
      <c r="F15" s="200">
        <v>0</v>
      </c>
      <c r="G15" s="200">
        <v>0</v>
      </c>
    </row>
    <row r="16" spans="1:7" x14ac:dyDescent="0.25">
      <c r="A16" s="199" t="s">
        <v>244</v>
      </c>
      <c r="B16" s="200">
        <v>0</v>
      </c>
      <c r="C16" s="200">
        <v>0</v>
      </c>
      <c r="D16" s="200">
        <v>0</v>
      </c>
      <c r="E16" s="200">
        <v>0</v>
      </c>
      <c r="F16" s="200">
        <v>0</v>
      </c>
      <c r="G16" s="200">
        <v>0</v>
      </c>
    </row>
    <row r="17" spans="1:7" x14ac:dyDescent="0.25">
      <c r="A17" s="199"/>
      <c r="B17" s="197"/>
      <c r="C17" s="197"/>
      <c r="D17" s="197"/>
      <c r="E17" s="197"/>
      <c r="F17" s="197"/>
      <c r="G17" s="197"/>
    </row>
    <row r="18" spans="1:7" x14ac:dyDescent="0.25">
      <c r="A18" s="196" t="s">
        <v>245</v>
      </c>
      <c r="B18" s="198">
        <f>SUM(B19:B27)</f>
        <v>2550366</v>
      </c>
      <c r="C18" s="198">
        <f>SUM(C19:C27)</f>
        <v>7243422</v>
      </c>
      <c r="D18" s="198">
        <f>SUM(D19:D27)</f>
        <v>6707858</v>
      </c>
      <c r="E18" s="198">
        <f>SUM(E19:E27)</f>
        <v>3213244</v>
      </c>
      <c r="F18" s="198">
        <f t="shared" ref="F18:G18" si="1">SUM(F19:F27)</f>
        <v>0</v>
      </c>
      <c r="G18" s="198">
        <f t="shared" si="1"/>
        <v>0</v>
      </c>
    </row>
    <row r="19" spans="1:7" x14ac:dyDescent="0.25">
      <c r="A19" s="199" t="s">
        <v>236</v>
      </c>
      <c r="B19" s="200">
        <v>0</v>
      </c>
      <c r="C19" s="200">
        <v>0</v>
      </c>
      <c r="D19" s="200">
        <v>0</v>
      </c>
      <c r="E19" s="200">
        <v>0</v>
      </c>
      <c r="F19" s="200">
        <v>0</v>
      </c>
      <c r="G19" s="200">
        <v>0</v>
      </c>
    </row>
    <row r="20" spans="1:7" x14ac:dyDescent="0.25">
      <c r="A20" s="199" t="s">
        <v>237</v>
      </c>
      <c r="B20" s="200">
        <v>0</v>
      </c>
      <c r="C20" s="200">
        <f>ROUND(112126.2,0)</f>
        <v>112126</v>
      </c>
      <c r="D20" s="200">
        <f>ROUND(108818.36,0)</f>
        <v>108818</v>
      </c>
      <c r="E20" s="200">
        <v>0</v>
      </c>
      <c r="F20" s="200">
        <v>0</v>
      </c>
      <c r="G20" s="200">
        <v>0</v>
      </c>
    </row>
    <row r="21" spans="1:7" x14ac:dyDescent="0.25">
      <c r="A21" s="199" t="s">
        <v>238</v>
      </c>
      <c r="B21" s="200">
        <v>0</v>
      </c>
      <c r="C21" s="200">
        <f>ROUND(2775305.15,0)</f>
        <v>2775305</v>
      </c>
      <c r="D21" s="200">
        <f>ROUND(1502921.99,0)</f>
        <v>1502922</v>
      </c>
      <c r="E21" s="200">
        <v>1499960</v>
      </c>
      <c r="F21" s="200">
        <v>0</v>
      </c>
      <c r="G21" s="200">
        <v>0</v>
      </c>
    </row>
    <row r="22" spans="1:7" x14ac:dyDescent="0.25">
      <c r="A22" s="199" t="s">
        <v>239</v>
      </c>
      <c r="B22" s="200">
        <v>0</v>
      </c>
      <c r="C22" s="200">
        <v>0</v>
      </c>
      <c r="D22" s="200">
        <v>0</v>
      </c>
      <c r="E22" s="200">
        <v>0</v>
      </c>
      <c r="F22" s="200">
        <v>0</v>
      </c>
      <c r="G22" s="200">
        <v>0</v>
      </c>
    </row>
    <row r="23" spans="1:7" x14ac:dyDescent="0.25">
      <c r="A23" s="199" t="s">
        <v>240</v>
      </c>
      <c r="B23" s="200">
        <f>ROUND(2550366.51-0.02,0)</f>
        <v>2550366</v>
      </c>
      <c r="C23" s="200">
        <f>ROUND(4355991.12,0)</f>
        <v>4355991</v>
      </c>
      <c r="D23" s="200">
        <f>ROUND(5096118.47,0)</f>
        <v>5096118</v>
      </c>
      <c r="E23" s="200">
        <f>ROUND(1713284.33,0)</f>
        <v>1713284</v>
      </c>
      <c r="F23" s="200">
        <v>0</v>
      </c>
      <c r="G23" s="200">
        <v>0</v>
      </c>
    </row>
    <row r="24" spans="1:7" x14ac:dyDescent="0.25">
      <c r="A24" s="199" t="s">
        <v>241</v>
      </c>
      <c r="B24" s="200">
        <v>0</v>
      </c>
      <c r="C24" s="200">
        <v>0</v>
      </c>
      <c r="D24" s="200">
        <v>0</v>
      </c>
      <c r="E24" s="200">
        <v>0</v>
      </c>
      <c r="F24" s="200">
        <v>0</v>
      </c>
      <c r="G24" s="200">
        <v>0</v>
      </c>
    </row>
    <row r="25" spans="1:7" x14ac:dyDescent="0.25">
      <c r="A25" s="199" t="s">
        <v>242</v>
      </c>
      <c r="B25" s="200">
        <v>0</v>
      </c>
      <c r="C25" s="200">
        <v>0</v>
      </c>
      <c r="D25" s="200">
        <v>0</v>
      </c>
      <c r="E25" s="200">
        <v>0</v>
      </c>
      <c r="F25" s="200">
        <v>0</v>
      </c>
      <c r="G25" s="200">
        <v>0</v>
      </c>
    </row>
    <row r="26" spans="1:7" x14ac:dyDescent="0.25">
      <c r="A26" s="199" t="s">
        <v>246</v>
      </c>
      <c r="B26" s="200">
        <v>0</v>
      </c>
      <c r="C26" s="200">
        <v>0</v>
      </c>
      <c r="D26" s="200">
        <v>0</v>
      </c>
      <c r="E26" s="200">
        <v>0</v>
      </c>
      <c r="F26" s="200">
        <v>0</v>
      </c>
      <c r="G26" s="200">
        <v>0</v>
      </c>
    </row>
    <row r="27" spans="1:7" x14ac:dyDescent="0.25">
      <c r="A27" s="199" t="s">
        <v>244</v>
      </c>
      <c r="B27" s="200">
        <v>0</v>
      </c>
      <c r="C27" s="200">
        <v>0</v>
      </c>
      <c r="D27" s="200">
        <v>0</v>
      </c>
      <c r="E27" s="200">
        <v>0</v>
      </c>
      <c r="F27" s="200">
        <v>0</v>
      </c>
      <c r="G27" s="200">
        <v>0</v>
      </c>
    </row>
    <row r="28" spans="1:7" x14ac:dyDescent="0.25">
      <c r="A28" s="199"/>
      <c r="B28" s="197"/>
      <c r="C28" s="197"/>
      <c r="D28" s="197"/>
      <c r="E28" s="197"/>
      <c r="F28" s="197"/>
      <c r="G28" s="197"/>
    </row>
    <row r="29" spans="1:7" x14ac:dyDescent="0.25">
      <c r="A29" s="196" t="s">
        <v>282</v>
      </c>
      <c r="B29" s="198">
        <f>+B7+B18</f>
        <v>532729503</v>
      </c>
      <c r="C29" s="198">
        <f>+C7+C18</f>
        <v>530328404</v>
      </c>
      <c r="D29" s="198">
        <f>+D7+D18</f>
        <v>552565862</v>
      </c>
      <c r="E29" s="198">
        <f>+E7+E18</f>
        <v>546591918</v>
      </c>
      <c r="F29" s="198">
        <f t="shared" ref="F29:G29" si="2">+F7+F18</f>
        <v>573789916</v>
      </c>
      <c r="G29" s="198">
        <f t="shared" si="2"/>
        <v>597000000</v>
      </c>
    </row>
    <row r="30" spans="1:7" ht="15.75" thickBot="1" x14ac:dyDescent="0.3">
      <c r="A30" s="201"/>
      <c r="B30" s="202"/>
      <c r="C30" s="202"/>
      <c r="D30" s="202"/>
      <c r="E30" s="202"/>
      <c r="F30" s="202"/>
      <c r="G30" s="202"/>
    </row>
    <row r="32" spans="1:7" x14ac:dyDescent="0.25">
      <c r="A32" s="250" t="s">
        <v>283</v>
      </c>
      <c r="B32" s="250"/>
      <c r="C32" s="250"/>
      <c r="D32" s="250"/>
      <c r="E32" s="250"/>
      <c r="F32" s="250"/>
      <c r="G32" s="250"/>
    </row>
    <row r="33" spans="1:7" x14ac:dyDescent="0.25">
      <c r="A33" s="256" t="s">
        <v>284</v>
      </c>
      <c r="B33" s="250"/>
      <c r="C33" s="250"/>
      <c r="D33" s="250"/>
      <c r="E33" s="250"/>
      <c r="F33" s="250"/>
      <c r="G33" s="250"/>
    </row>
    <row r="35" spans="1:7" x14ac:dyDescent="0.25">
      <c r="A35" s="203"/>
    </row>
    <row r="36" spans="1:7" x14ac:dyDescent="0.25">
      <c r="A36" s="203"/>
      <c r="C36" s="204"/>
      <c r="D36" s="204"/>
      <c r="E36" s="204"/>
      <c r="F36" s="204"/>
      <c r="G36" s="204"/>
    </row>
    <row r="37" spans="1:7" x14ac:dyDescent="0.25">
      <c r="C37" s="204"/>
      <c r="D37" s="204"/>
      <c r="E37" s="204"/>
      <c r="F37" s="204"/>
      <c r="G37" s="204"/>
    </row>
    <row r="38" spans="1:7" x14ac:dyDescent="0.25">
      <c r="C38" s="205"/>
      <c r="D38" s="205"/>
      <c r="E38" s="205"/>
      <c r="F38" s="205"/>
      <c r="G38" s="205"/>
    </row>
  </sheetData>
  <mergeCells count="7">
    <mergeCell ref="A33:G33"/>
    <mergeCell ref="A5:A6"/>
    <mergeCell ref="A1:G1"/>
    <mergeCell ref="A2:G2"/>
    <mergeCell ref="A3:G3"/>
    <mergeCell ref="A4:G4"/>
    <mergeCell ref="A32:G32"/>
  </mergeCells>
  <dataValidations count="1">
    <dataValidation type="decimal" allowBlank="1" showInputMessage="1" showErrorMessage="1" sqref="G19:G27 B19:E27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GUIA CUMPLIMIENTO</vt:lpstr>
      <vt:lpstr>F5_EAID</vt:lpstr>
      <vt:lpstr>7a Proyección de Ingresos</vt:lpstr>
      <vt:lpstr>7b Proyección de Egresos</vt:lpstr>
      <vt:lpstr>7 c) Resultadosde Ingresos </vt:lpstr>
      <vt:lpstr>7 d) 2018</vt:lpstr>
      <vt:lpstr>Hoja1</vt:lpstr>
      <vt:lpstr>'GUIA CUMPLIMIENTO'!Área_de_impresión</vt:lpstr>
      <vt:lpstr>'F5_EAID'!Títulos_a_imprimir</vt:lpstr>
      <vt:lpstr>'GUIA CUMPLIMIENTO'!Títulos_a_imprimir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Gustavo Lazaro Esparza</dc:creator>
  <cp:lastModifiedBy>obruno</cp:lastModifiedBy>
  <cp:lastPrinted>2022-10-26T17:14:58Z</cp:lastPrinted>
  <dcterms:created xsi:type="dcterms:W3CDTF">2018-02-12T14:46:04Z</dcterms:created>
  <dcterms:modified xsi:type="dcterms:W3CDTF">2022-10-26T17:15:01Z</dcterms:modified>
</cp:coreProperties>
</file>